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30" tabRatio="846" firstSheet="6" activeTab="11"/>
  </bookViews>
  <sheets>
    <sheet name="Index" sheetId="1" state="hidden" r:id="rId1"/>
    <sheet name="performance" sheetId="2" state="hidden" r:id="rId2"/>
    <sheet name="Profit &amp; Loss" sheetId="3" state="hidden" r:id="rId3"/>
    <sheet name="Balancesheet" sheetId="4" state="hidden" r:id="rId4"/>
    <sheet name="BS" sheetId="5" state="hidden" r:id="rId5"/>
    <sheet name="Variance1" sheetId="6" state="hidden" r:id="rId6"/>
    <sheet name="Content" sheetId="7" r:id="rId7"/>
    <sheet name="P &amp; L " sheetId="8" r:id="rId8"/>
    <sheet name="Cont" sheetId="9" r:id="rId9"/>
    <sheet name="Reason" sheetId="10" r:id="rId10"/>
    <sheet name="C F " sheetId="11" r:id="rId11"/>
    <sheet name="FF" sheetId="12" r:id="rId12"/>
    <sheet name="Balance sheet" sheetId="13" r:id="rId13"/>
    <sheet name="Drs Flow" sheetId="14" r:id="rId14"/>
    <sheet name="FG F" sheetId="15" r:id="rId15"/>
    <sheet name="Debtors aging " sheetId="16" r:id="rId16"/>
    <sheet name="Creditors aging" sheetId="17" r:id="rId17"/>
    <sheet name="BRS" sheetId="18" r:id="rId18"/>
    <sheet name="PL" sheetId="19" state="hidden" r:id="rId19"/>
    <sheet name="TB" sheetId="20" state="hidden" r:id="rId20"/>
    <sheet name="Stock" sheetId="21" state="hidden" r:id="rId21"/>
    <sheet name="TB-New" sheetId="22" state="hidden" r:id="rId22"/>
    <sheet name="TBnew" sheetId="23" state="hidden" r:id="rId23"/>
    <sheet name="TrialBal (2)" sheetId="24" state="hidden" r:id="rId24"/>
    <sheet name="Cash Flow" sheetId="25" state="hidden" r:id="rId25"/>
    <sheet name="Exps Detail" sheetId="26" state="hidden" r:id="rId26"/>
    <sheet name="Collection " sheetId="27" state="hidden" r:id="rId27"/>
    <sheet name="Vatv" sheetId="28" state="hidden" r:id="rId28"/>
    <sheet name="Cash Flow-BS (2)" sheetId="29" state="hidden" r:id="rId29"/>
    <sheet name="TrialBal" sheetId="30" state="hidden" r:id="rId30"/>
    <sheet name="Budget" sheetId="31" state="hidden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12">'Balance sheet'!$B$1:$J$434</definedName>
    <definedName name="_xlnm.Print_Area" localSheetId="4">'BS'!$A$1:$F$33</definedName>
    <definedName name="_xlnm.Print_Area" localSheetId="30">'Budget'!$A$1:$E$62</definedName>
    <definedName name="_xlnm.Print_Area" localSheetId="10">'C F '!$A$1:$C$43</definedName>
    <definedName name="_xlnm.Print_Area" localSheetId="24">'Cash Flow'!$A$1:$F$45</definedName>
    <definedName name="_xlnm.Print_Area" localSheetId="28">'Cash Flow-BS (2)'!$A$1:$E$30</definedName>
    <definedName name="_xlnm.Print_Area" localSheetId="8">'Cont'!$A$1:$L$75</definedName>
    <definedName name="_xlnm.Print_Area" localSheetId="6">'Content'!$B$2:$M$63</definedName>
    <definedName name="_xlnm.Print_Area" localSheetId="16">'Creditors aging'!$A$2:$I$63</definedName>
    <definedName name="_xlnm.Print_Area" localSheetId="15">'Debtors aging '!$A$2:$I$16</definedName>
    <definedName name="_xlnm.Print_Area" localSheetId="13">'Drs Flow'!$A$1:$E$47</definedName>
    <definedName name="_xlnm.Print_Area" localSheetId="14">'FG F'!$A$1:$G$48</definedName>
    <definedName name="_xlnm.Print_Area" localSheetId="0">'Index'!$A$1:$D$19</definedName>
    <definedName name="_xlnm.Print_Area" localSheetId="7">'P &amp; L '!$A$1:$F$117</definedName>
    <definedName name="_xlnm.Print_Area" localSheetId="1">'performance'!$A$1:$D$47</definedName>
    <definedName name="_xlnm.Print_Area" localSheetId="18">'PL'!$A$1:$K$139</definedName>
    <definedName name="_xlnm.Print_Area" localSheetId="2">'Profit &amp; Loss'!$A$1:$G$133</definedName>
    <definedName name="_xlnm.Print_Area" localSheetId="19">'TB'!$B$1:$D$258</definedName>
    <definedName name="_xlnm.Print_Area" localSheetId="5">'Variance1'!$A$1:$D$50</definedName>
    <definedName name="_xlnm.Print_Titles" localSheetId="7">'P &amp; L '!$3:$4</definedName>
    <definedName name="_xlnm.Print_Titles" localSheetId="18">'PL'!$7:$8</definedName>
    <definedName name="TABLE" localSheetId="19">'TB'!$B$1:$D$1</definedName>
    <definedName name="TABLE_10" localSheetId="19">'TB'!$B$10:$D$10</definedName>
    <definedName name="TABLE_100" localSheetId="19">'TB'!$B$111:$D$111</definedName>
    <definedName name="TABLE_11" localSheetId="19">'TB'!$B$11:$D$11</definedName>
    <definedName name="TABLE_12" localSheetId="19">'TB'!$B$12:$D$12</definedName>
    <definedName name="TABLE_13" localSheetId="19">'TB'!$B$13:$D$13</definedName>
    <definedName name="TABLE_14" localSheetId="19">'TB'!$B$14:$D$14</definedName>
    <definedName name="TABLE_15" localSheetId="19">'TB'!$B$15:$D$15</definedName>
    <definedName name="TABLE_16" localSheetId="19">'TB'!$B$16:$D$16</definedName>
    <definedName name="TABLE_17" localSheetId="19">'TB'!$B$17:$D$17</definedName>
    <definedName name="TABLE_18" localSheetId="19">'TB'!$B$18:$D$18</definedName>
    <definedName name="TABLE_19" localSheetId="19">'TB'!$B$19:$D$19</definedName>
    <definedName name="TABLE_2" localSheetId="19">'TB'!$B$2:$C$2</definedName>
    <definedName name="TABLE_20" localSheetId="19">'TB'!$B$20:$D$20</definedName>
    <definedName name="TABLE_21" localSheetId="19">'TB'!$B$21:$D$21</definedName>
    <definedName name="TABLE_22" localSheetId="19">'TB'!$B$22:$D$22</definedName>
    <definedName name="TABLE_23" localSheetId="19">'TB'!$B$23:$D$23</definedName>
    <definedName name="TABLE_24" localSheetId="19">'TB'!$B$25:$D$25</definedName>
    <definedName name="TABLE_25" localSheetId="19">'TB'!$B$26:$D$26</definedName>
    <definedName name="TABLE_26" localSheetId="19">'TB'!$B$27:$D$27</definedName>
    <definedName name="TABLE_27" localSheetId="19">'TB'!$B$28:$E$28</definedName>
    <definedName name="TABLE_28" localSheetId="19">'TB'!$B$29:$D$29</definedName>
    <definedName name="TABLE_29" localSheetId="19">'TB'!$B$30:$D$30</definedName>
    <definedName name="TABLE_3" localSheetId="19">'TB'!$B$3:$C$3</definedName>
    <definedName name="TABLE_30" localSheetId="19">'TB'!$B$31:$D$31</definedName>
    <definedName name="TABLE_31" localSheetId="19">'TB'!$B$32:$D$32</definedName>
    <definedName name="TABLE_32" localSheetId="19">'TB'!$B$33:$D$33</definedName>
    <definedName name="TABLE_33" localSheetId="19">'TB'!$B$34:$D$34</definedName>
    <definedName name="TABLE_34" localSheetId="19">'TB'!$B$35:$D$35</definedName>
    <definedName name="TABLE_35" localSheetId="19">'TB'!$B$36:$D$36</definedName>
    <definedName name="TABLE_36" localSheetId="19">'TB'!$B$37:$D$37</definedName>
    <definedName name="TABLE_37" localSheetId="19">'TB'!$B$38:$D$38</definedName>
    <definedName name="TABLE_38" localSheetId="19">'TB'!$B$39:$D$39</definedName>
    <definedName name="TABLE_39" localSheetId="19">'TB'!$B$41:$D$41</definedName>
    <definedName name="TABLE_4" localSheetId="19">'TB'!$B$4:$C$4</definedName>
    <definedName name="TABLE_40" localSheetId="19">'TB'!$B$42:$E$42</definedName>
    <definedName name="TABLE_41" localSheetId="19">'TB'!$B$44:$D$44</definedName>
    <definedName name="TABLE_42" localSheetId="19">'TB'!$B$45:$D$45</definedName>
    <definedName name="TABLE_43" localSheetId="19">'TB'!$B$46:$D$46</definedName>
    <definedName name="TABLE_44" localSheetId="19">'TB'!$B$47:$D$47</definedName>
    <definedName name="TABLE_45" localSheetId="19">'TB'!$B$48:$D$48</definedName>
    <definedName name="TABLE_46" localSheetId="19">'TB'!$B$49:$D$49</definedName>
    <definedName name="TABLE_47" localSheetId="19">'TB'!$B$51:$D$51</definedName>
    <definedName name="TABLE_48" localSheetId="19">'TB'!$B$52:$D$52</definedName>
    <definedName name="TABLE_49" localSheetId="19">'TB'!$B$54:$D$54</definedName>
    <definedName name="TABLE_5" localSheetId="19">'TB'!$B$5:$D$5</definedName>
    <definedName name="TABLE_50" localSheetId="19">'TB'!$B$55:$D$55</definedName>
    <definedName name="TABLE_51" localSheetId="19">'TB'!$B$56:$D$56</definedName>
    <definedName name="TABLE_52" localSheetId="19">'TB'!$B$57:$D$57</definedName>
    <definedName name="TABLE_53" localSheetId="19">'TB'!$B$58:$D$58</definedName>
    <definedName name="TABLE_54" localSheetId="19">'TB'!$B$59:$D$59</definedName>
    <definedName name="TABLE_55" localSheetId="19">'TB'!$B$61:$D$61</definedName>
    <definedName name="TABLE_56" localSheetId="19">'TB'!$B$62:$D$62</definedName>
    <definedName name="TABLE_57" localSheetId="19">'TB'!$B$63:$D$63</definedName>
    <definedName name="TABLE_58" localSheetId="19">'TB'!$B$64:$D$64</definedName>
    <definedName name="TABLE_59" localSheetId="19">'TB'!$B$65:$D$65</definedName>
    <definedName name="TABLE_6" localSheetId="19">'TB'!$B$2:$D$5</definedName>
    <definedName name="TABLE_60" localSheetId="19">'TB'!$B$66:$D$66</definedName>
    <definedName name="TABLE_61" localSheetId="19">'TB'!$B$67:$D$67</definedName>
    <definedName name="TABLE_62" localSheetId="19">'TB'!$B$68:$D$68</definedName>
    <definedName name="TABLE_63" localSheetId="19">'TB'!$B$69:$D$69</definedName>
    <definedName name="TABLE_64" localSheetId="19">'TB'!$B$71:$D$71</definedName>
    <definedName name="TABLE_65" localSheetId="19">'TB'!$B$72:$D$72</definedName>
    <definedName name="TABLE_66" localSheetId="19">'TB'!$B$74:$D$74</definedName>
    <definedName name="TABLE_67" localSheetId="19">'TB'!$B$75:$D$75</definedName>
    <definedName name="TABLE_68" localSheetId="19">'TB'!$B$76:$D$76</definedName>
    <definedName name="TABLE_69" localSheetId="19">'TB'!$B$78:$D$78</definedName>
    <definedName name="TABLE_7" localSheetId="19">'TB'!$B$7:$E$7</definedName>
    <definedName name="TABLE_70" localSheetId="19">'TB'!$B$79:$E$79</definedName>
    <definedName name="TABLE_71" localSheetId="19">'TB'!$B$81:$D$81</definedName>
    <definedName name="TABLE_72" localSheetId="19">'TB'!$B$82:$D$82</definedName>
    <definedName name="TABLE_73" localSheetId="19">'TB'!$B$83:$D$83</definedName>
    <definedName name="TABLE_74" localSheetId="19">'TB'!$B$85:$D$85</definedName>
    <definedName name="TABLE_75" localSheetId="19">'TB'!$B$86:$D$86</definedName>
    <definedName name="TABLE_76" localSheetId="19">'TB'!$B$87:$D$87</definedName>
    <definedName name="TABLE_77" localSheetId="19">'TB'!$B$88:$D$88</definedName>
    <definedName name="TABLE_78" localSheetId="19">'TB'!$B$89:$D$89</definedName>
    <definedName name="TABLE_79" localSheetId="19">'TB'!$B$90:$D$90</definedName>
    <definedName name="TABLE_8" localSheetId="19">'TB'!$B$8:$D$8</definedName>
    <definedName name="TABLE_80" localSheetId="19">'TB'!$B$91:$D$91</definedName>
    <definedName name="TABLE_81" localSheetId="19">'TB'!$B$92:$D$92</definedName>
    <definedName name="TABLE_82" localSheetId="19">'TB'!$B$93:$D$93</definedName>
    <definedName name="TABLE_83" localSheetId="19">'TB'!$B$94:$D$94</definedName>
    <definedName name="TABLE_84" localSheetId="19">'TB'!$B$95:$D$95</definedName>
    <definedName name="TABLE_85" localSheetId="19">'TB'!$B$96:$D$96</definedName>
    <definedName name="TABLE_86" localSheetId="19">'TB'!$B$97:$D$97</definedName>
    <definedName name="TABLE_87" localSheetId="19">'TB'!$B$98:$D$98</definedName>
    <definedName name="TABLE_88" localSheetId="19">'TB'!$B$99:$D$99</definedName>
    <definedName name="TABLE_89" localSheetId="19">'TB'!$B$100:$D$100</definedName>
    <definedName name="TABLE_9" localSheetId="19">'TB'!$B$9:$D$9</definedName>
    <definedName name="TABLE_90" localSheetId="19">'TB'!$B$101:$D$101</definedName>
    <definedName name="TABLE_91" localSheetId="19">'TB'!$B$102:$D$102</definedName>
    <definedName name="TABLE_92" localSheetId="19">'TB'!$B$103:$D$103</definedName>
    <definedName name="TABLE_93" localSheetId="19">'TB'!$B$104:$D$104</definedName>
    <definedName name="TABLE_94" localSheetId="19">'TB'!$B$105:$D$105</definedName>
    <definedName name="TABLE_95" localSheetId="19">'TB'!$B$106:$D$106</definedName>
    <definedName name="TABLE_96" localSheetId="19">'TB'!$B$107:$D$107</definedName>
    <definedName name="TABLE_97" localSheetId="19">'TB'!$B$108:$D$108</definedName>
    <definedName name="TABLE_98" localSheetId="19">'TB'!$B$109:$D$109</definedName>
    <definedName name="TABLE_99" localSheetId="19">'TB'!$B$110:$D$110</definedName>
  </definedNames>
  <calcPr fullCalcOnLoad="1"/>
</workbook>
</file>

<file path=xl/comments19.xml><?xml version="1.0" encoding="utf-8"?>
<comments xmlns="http://schemas.openxmlformats.org/spreadsheetml/2006/main">
  <authors>
    <author>Vijayji</author>
  </authors>
  <commentList>
    <comment ref="J113" authorId="0">
      <text>
        <r>
          <rPr>
            <b/>
            <sz val="8"/>
            <rFont val="Tahoma"/>
            <family val="0"/>
          </rPr>
          <t>Vijayji:</t>
        </r>
        <r>
          <rPr>
            <sz val="8"/>
            <rFont val="Tahoma"/>
            <family val="0"/>
          </rPr>
          <t xml:space="preserve">
Finnacial chgs
</t>
        </r>
      </text>
    </comment>
  </commentList>
</comments>
</file>

<file path=xl/comments3.xml><?xml version="1.0" encoding="utf-8"?>
<comments xmlns="http://schemas.openxmlformats.org/spreadsheetml/2006/main">
  <authors>
    <author>Vijayji</author>
  </authors>
  <commentList>
    <comment ref="D110" authorId="0">
      <text>
        <r>
          <rPr>
            <b/>
            <sz val="8"/>
            <rFont val="Tahoma"/>
            <family val="0"/>
          </rPr>
          <t>Vijayji:</t>
        </r>
        <r>
          <rPr>
            <sz val="8"/>
            <rFont val="Tahoma"/>
            <family val="0"/>
          </rPr>
          <t xml:space="preserve">
Finnacial chgs
</t>
        </r>
      </text>
    </comment>
  </commentList>
</comments>
</file>

<file path=xl/comments5.xml><?xml version="1.0" encoding="utf-8"?>
<comments xmlns="http://schemas.openxmlformats.org/spreadsheetml/2006/main">
  <authors>
    <author>Vijayji</author>
  </authors>
  <commentList>
    <comment ref="B9" authorId="0">
      <text>
        <r>
          <rPr>
            <b/>
            <sz val="8"/>
            <rFont val="Tahoma"/>
            <family val="0"/>
          </rPr>
          <t xml:space="preserve">including closing stock Rs 27189615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Vijayji</author>
    <author>Deepak</author>
  </authors>
  <commentList>
    <comment ref="B103" authorId="0">
      <text>
        <r>
          <rPr>
            <b/>
            <sz val="8"/>
            <rFont val="Tahoma"/>
            <family val="0"/>
          </rPr>
          <t>Commission &amp; Brokerage</t>
        </r>
      </text>
    </comment>
    <comment ref="B90" authorId="0">
      <text>
        <r>
          <rPr>
            <sz val="8"/>
            <rFont val="Tahoma"/>
            <family val="2"/>
          </rPr>
          <t xml:space="preserve">Bank Chgs Etc
</t>
        </r>
      </text>
    </comment>
    <comment ref="B74" authorId="1">
      <text>
        <r>
          <rPr>
            <b/>
            <sz val="8"/>
            <rFont val="Tahoma"/>
            <family val="0"/>
          </rPr>
          <t>Deepak:</t>
        </r>
        <r>
          <rPr>
            <sz val="8"/>
            <rFont val="Tahoma"/>
            <family val="0"/>
          </rPr>
          <t xml:space="preserve">
Electric Repair &amp; Ofice Repair</t>
        </r>
      </text>
    </comment>
  </commentList>
</comments>
</file>

<file path=xl/comments9.xml><?xml version="1.0" encoding="utf-8"?>
<comments xmlns="http://schemas.openxmlformats.org/spreadsheetml/2006/main">
  <authors>
    <author>Deepak</author>
  </authors>
  <commentList>
    <comment ref="B30" authorId="0">
      <text>
        <r>
          <rPr>
            <b/>
            <sz val="8"/>
            <rFont val="Tahoma"/>
            <family val="0"/>
          </rPr>
          <t>Deepak:</t>
        </r>
        <r>
          <rPr>
            <sz val="8"/>
            <rFont val="Tahoma"/>
            <family val="0"/>
          </rPr>
          <t xml:space="preserve">
Electric Repair &amp; Ofice Repair</t>
        </r>
      </text>
    </comment>
  </commentList>
</comments>
</file>

<file path=xl/sharedStrings.xml><?xml version="1.0" encoding="utf-8"?>
<sst xmlns="http://schemas.openxmlformats.org/spreadsheetml/2006/main" count="2291" uniqueCount="1047">
  <si>
    <t>Closing Stock</t>
  </si>
  <si>
    <t>Less:</t>
  </si>
  <si>
    <t>Opening Stock</t>
  </si>
  <si>
    <t>Amount</t>
  </si>
  <si>
    <t>Gross Profit</t>
  </si>
  <si>
    <t>Power &amp; Fuel</t>
  </si>
  <si>
    <t>Cutting &amp; Packing charges</t>
  </si>
  <si>
    <t>Freight &amp; Cartage</t>
  </si>
  <si>
    <t>Payroll Expenses</t>
  </si>
  <si>
    <t>Administrative Exp.</t>
  </si>
  <si>
    <t>Repair &amp; Maintenanace</t>
  </si>
  <si>
    <t>Selling Expenses</t>
  </si>
  <si>
    <t>Communication Exp.</t>
  </si>
  <si>
    <t>Depreciation</t>
  </si>
  <si>
    <t>Other Income</t>
  </si>
  <si>
    <t>In %</t>
  </si>
  <si>
    <t>Particular</t>
  </si>
  <si>
    <t>Cash Flow Statement</t>
  </si>
  <si>
    <t>Inflows</t>
  </si>
  <si>
    <t>From Branch/Division</t>
  </si>
  <si>
    <t>From Debtors</t>
  </si>
  <si>
    <t>From Cash Sales</t>
  </si>
  <si>
    <t>To Branch/ Division</t>
  </si>
  <si>
    <t>To Staff as loan &amp; Advances</t>
  </si>
  <si>
    <t>Pioneer Embroideries Ltd.</t>
  </si>
  <si>
    <t>Sales :</t>
  </si>
  <si>
    <t>Finished goods</t>
  </si>
  <si>
    <t>Job Work</t>
  </si>
  <si>
    <t>IST Finished Goods</t>
  </si>
  <si>
    <t>IST Job Work</t>
  </si>
  <si>
    <t>Others, If any</t>
  </si>
  <si>
    <t>Work- In - Progress</t>
  </si>
  <si>
    <t>Stocks :Increase / (Decrease) in Stock</t>
  </si>
  <si>
    <t>Increase / (Decrease) in Stock</t>
  </si>
  <si>
    <t>Total</t>
  </si>
  <si>
    <t>Raw Material Consumption</t>
  </si>
  <si>
    <t>Yarn</t>
  </si>
  <si>
    <t xml:space="preserve">Fabric </t>
  </si>
  <si>
    <t>Others</t>
  </si>
  <si>
    <t>Purchases</t>
  </si>
  <si>
    <t>Add :</t>
  </si>
  <si>
    <t>Less :</t>
  </si>
  <si>
    <t>Stores &amp; Spares Consumption</t>
  </si>
  <si>
    <t>Manufacturing Expenses</t>
  </si>
  <si>
    <t>Electricity</t>
  </si>
  <si>
    <t>Other Fule</t>
  </si>
  <si>
    <t>Machines</t>
  </si>
  <si>
    <t>Building</t>
  </si>
  <si>
    <t>Salaries</t>
  </si>
  <si>
    <t>Rent,Rates &amp; Taxes</t>
  </si>
  <si>
    <t>Legal &amp; Professional Charges</t>
  </si>
  <si>
    <t>General Expenses</t>
  </si>
  <si>
    <t>Staff Wealfare</t>
  </si>
  <si>
    <t>Vehical Running Exp.</t>
  </si>
  <si>
    <t>Printing &amp; Stationary</t>
  </si>
  <si>
    <t>Insurance Exp.</t>
  </si>
  <si>
    <t>Travelling &amp; Conveyance Exp.</t>
  </si>
  <si>
    <t xml:space="preserve">Excise Duty </t>
  </si>
  <si>
    <t>Rate differnece &amp; Contingencies Provisions</t>
  </si>
  <si>
    <t>Claims</t>
  </si>
  <si>
    <t>Sales Return</t>
  </si>
  <si>
    <t>Profit / (Loss) before Interest &amp; Depreciation</t>
  </si>
  <si>
    <t>Interest on fixed assets &amp; W.C. (HO)</t>
  </si>
  <si>
    <t>Other Interest</t>
  </si>
  <si>
    <t>Net Profit / (Loss)</t>
  </si>
  <si>
    <t>Wages :</t>
  </si>
  <si>
    <t>On Rolls</t>
  </si>
  <si>
    <t>Contractors</t>
  </si>
  <si>
    <t>Salaries of Technicals &amp; Others</t>
  </si>
  <si>
    <t>Provision for Gratuity, Bonus etc.</t>
  </si>
  <si>
    <t xml:space="preserve">Staff Wealfare </t>
  </si>
  <si>
    <t>Work- In - Process</t>
  </si>
  <si>
    <t>Till Date</t>
  </si>
  <si>
    <t>Liabilities</t>
  </si>
  <si>
    <t>Assets</t>
  </si>
  <si>
    <t>Branch/Divisions</t>
  </si>
  <si>
    <t>HO</t>
  </si>
  <si>
    <t>Fabric &amp; Yarn</t>
  </si>
  <si>
    <t>Expenses</t>
  </si>
  <si>
    <t>Sundry Creditors:</t>
  </si>
  <si>
    <t>Loans</t>
  </si>
  <si>
    <t>Profit &amp; Loss</t>
  </si>
  <si>
    <t>Fixed Assets</t>
  </si>
  <si>
    <t>Gross Block</t>
  </si>
  <si>
    <t>Less : Depreciation</t>
  </si>
  <si>
    <t>Investments</t>
  </si>
  <si>
    <t>Sundry Debtors</t>
  </si>
  <si>
    <t>Cash &amp; Bank Balances</t>
  </si>
  <si>
    <t>Stocks</t>
  </si>
  <si>
    <t>Loan &amp; advances</t>
  </si>
  <si>
    <t>Branches &amp; Divisions</t>
  </si>
  <si>
    <t>More than Six Month</t>
  </si>
  <si>
    <t xml:space="preserve">Cash </t>
  </si>
  <si>
    <t>Bank</t>
  </si>
  <si>
    <t xml:space="preserve">Misc. Expenditure </t>
  </si>
  <si>
    <t xml:space="preserve"> As on Previous Month</t>
  </si>
  <si>
    <t>As on Current Month</t>
  </si>
  <si>
    <t>As on Previous Month</t>
  </si>
  <si>
    <t>For Expenses :</t>
  </si>
  <si>
    <t>Excise Duty</t>
  </si>
  <si>
    <t>Cash</t>
  </si>
  <si>
    <t>Closing Balance</t>
  </si>
  <si>
    <t xml:space="preserve">Opening Balances </t>
  </si>
  <si>
    <t>S.No.</t>
  </si>
  <si>
    <t>Performance Report</t>
  </si>
  <si>
    <t>Profit &amp; Loss A/c</t>
  </si>
  <si>
    <t>Balance Sheet</t>
  </si>
  <si>
    <t>Monthly Reports</t>
  </si>
  <si>
    <t>For the Month</t>
  </si>
  <si>
    <t>For Pre. Month</t>
  </si>
  <si>
    <t>Computer Back up of accounts</t>
  </si>
  <si>
    <t>INDEX</t>
  </si>
  <si>
    <t>Date Of Submission</t>
  </si>
  <si>
    <t>Contribution</t>
  </si>
  <si>
    <t>Outflows</t>
  </si>
  <si>
    <t>Actual</t>
  </si>
  <si>
    <t>Budgeted</t>
  </si>
  <si>
    <t>Variation</t>
  </si>
  <si>
    <t xml:space="preserve"> %</t>
  </si>
  <si>
    <t>Budgeted vs Actuals</t>
  </si>
  <si>
    <t>Division-----------</t>
  </si>
  <si>
    <t>Month------------</t>
  </si>
  <si>
    <t xml:space="preserve">    PERFORMENCE REPORT</t>
  </si>
  <si>
    <t>Production</t>
  </si>
  <si>
    <t>Rated Capacity (in Stiches)</t>
  </si>
  <si>
    <t>Plant Efficiency</t>
  </si>
  <si>
    <t>Production Breakdown</t>
  </si>
  <si>
    <t>Machine</t>
  </si>
  <si>
    <t>Want of yarn</t>
  </si>
  <si>
    <t>Want of Job</t>
  </si>
  <si>
    <t>Other Reasons</t>
  </si>
  <si>
    <t>Sales</t>
  </si>
  <si>
    <t>Less Expenses</t>
  </si>
  <si>
    <t>Funds</t>
  </si>
  <si>
    <t>In Flow</t>
  </si>
  <si>
    <t>Out Flow</t>
  </si>
  <si>
    <t>Balance in Bank</t>
  </si>
  <si>
    <t>Outstanding</t>
  </si>
  <si>
    <t xml:space="preserve">Debtors </t>
  </si>
  <si>
    <t xml:space="preserve">Creditors </t>
  </si>
  <si>
    <t>Fabric</t>
  </si>
  <si>
    <t>Finished Goods</t>
  </si>
  <si>
    <t>Stores</t>
  </si>
  <si>
    <t>Profit/ (Loss)After Interest but before Depreciation</t>
  </si>
  <si>
    <t>Guidelines attached</t>
  </si>
  <si>
    <t>5.  Budgeted Vs Actuals For the Month</t>
  </si>
  <si>
    <t>3.  Balancesheet</t>
  </si>
  <si>
    <t>2.    Monthly Profit &amp; Loss Account</t>
  </si>
  <si>
    <t>Division Lasser</t>
  </si>
  <si>
    <t>Month July 2004</t>
  </si>
  <si>
    <t>Jobwork expenses</t>
  </si>
  <si>
    <t>Mending charges</t>
  </si>
  <si>
    <t>dyeing charges</t>
  </si>
  <si>
    <t>punching charges</t>
  </si>
  <si>
    <t>freight &amp; octori inwards</t>
  </si>
  <si>
    <t>Others, If any (coolie &amp; cartage exp)</t>
  </si>
  <si>
    <t>Freight &amp; Cartage Outward</t>
  </si>
  <si>
    <t>coolie &amp; cartage inwards</t>
  </si>
  <si>
    <t xml:space="preserve"> </t>
  </si>
  <si>
    <t>Allocated Expenses</t>
  </si>
  <si>
    <t>Discounts</t>
  </si>
  <si>
    <t>Allocated Expenses-HO</t>
  </si>
  <si>
    <t>Allocated Expenses-Sarigam</t>
  </si>
  <si>
    <t xml:space="preserve">Staff Welfare </t>
  </si>
  <si>
    <t xml:space="preserve">Salaries </t>
  </si>
  <si>
    <t>Security Charges</t>
  </si>
  <si>
    <t>Others (incl. Trading of Goods)</t>
  </si>
  <si>
    <t>Mending/Shearing Charges</t>
  </si>
  <si>
    <t>Division:</t>
  </si>
  <si>
    <t>Lasser</t>
  </si>
  <si>
    <t>Apr'05 to Aug'05</t>
  </si>
  <si>
    <t>Month:</t>
  </si>
  <si>
    <t>Purchases (incld. IST Purchase)</t>
  </si>
  <si>
    <t>HO-Collection &amp; Payment</t>
  </si>
  <si>
    <t>Trial Balance</t>
  </si>
  <si>
    <t>PEL - Lasser Unit</t>
  </si>
  <si>
    <t>1-Apr-2005 to 31-Aug-2005</t>
  </si>
  <si>
    <t> </t>
  </si>
  <si>
    <t>Particulars</t>
  </si>
  <si>
    <t>Debit</t>
  </si>
  <si>
    <t>Credit</t>
  </si>
  <si>
    <t>Current Liabilities</t>
  </si>
  <si>
    <t>Provisions &amp; Payables</t>
  </si>
  <si>
    <t>Provisions</t>
  </si>
  <si>
    <t>Sundry Creditors</t>
  </si>
  <si>
    <t>Creditors- Fabric</t>
  </si>
  <si>
    <t>Creditors - Import</t>
  </si>
  <si>
    <t>Creditors - Job Work</t>
  </si>
  <si>
    <t>Creditors - Mending</t>
  </si>
  <si>
    <t>Creditors - Misc Exp</t>
  </si>
  <si>
    <t>Creditors - Packing Material</t>
  </si>
  <si>
    <t>Creditors - Stores &amp; Spares</t>
  </si>
  <si>
    <t>Creditors - Trading Goods</t>
  </si>
  <si>
    <t>Creditors - Yarn</t>
  </si>
  <si>
    <t>Bakshish Enterprises</t>
  </si>
  <si>
    <t>Exciting Fashions &amp; Emb.Pvt..Ltd</t>
  </si>
  <si>
    <t>HSP Corporation</t>
  </si>
  <si>
    <t>I A Shaikh &amp; Co</t>
  </si>
  <si>
    <t>Small Industries Development Bank of India</t>
  </si>
  <si>
    <t>Allocation of Expenses</t>
  </si>
  <si>
    <t>Outstanding Liabilities</t>
  </si>
  <si>
    <t>CAP. WIP &amp; PRE-OP. EXPENSES</t>
  </si>
  <si>
    <t>Air Conditioner</t>
  </si>
  <si>
    <t>Computers</t>
  </si>
  <si>
    <t>Electrical Installation</t>
  </si>
  <si>
    <t>Furniture &amp; Fixtures</t>
  </si>
  <si>
    <t>Office Equipment</t>
  </si>
  <si>
    <t>Plant &amp; Machinery</t>
  </si>
  <si>
    <t>Plant &amp; Machinery-Bobbin Winder</t>
  </si>
  <si>
    <t>Plant &amp; Machinery - Mending</t>
  </si>
  <si>
    <t>Plant &amp; Machinery - Sampling 3yrds</t>
  </si>
  <si>
    <t>Plant &amp; Machinery - Shearing Machine</t>
  </si>
  <si>
    <t>Current Assets</t>
  </si>
  <si>
    <t>ADVANCE TAX &amp; TDS</t>
  </si>
  <si>
    <t>Imprest Account</t>
  </si>
  <si>
    <t>Receivables</t>
  </si>
  <si>
    <t>Deposits (Asset)</t>
  </si>
  <si>
    <t>Loans &amp; Advances (Asset)</t>
  </si>
  <si>
    <t>Debtors- Binod Bhojak</t>
  </si>
  <si>
    <t>Debtors- Bishal Lunia</t>
  </si>
  <si>
    <t>Debtors - Hemant Mehta</t>
  </si>
  <si>
    <t>Debtors - Jitendra Pugalia</t>
  </si>
  <si>
    <t>Debtors - Manali</t>
  </si>
  <si>
    <t>Debtors - Manmohanji</t>
  </si>
  <si>
    <t>Debtors - Manoj Dugar</t>
  </si>
  <si>
    <t>Debtors - Marketing</t>
  </si>
  <si>
    <t>Debtors - Pravin Naik</t>
  </si>
  <si>
    <t>Debtors - Rakesh Parakh</t>
  </si>
  <si>
    <t>Debtors - Ravi Kaushik</t>
  </si>
  <si>
    <t>Debtors- Sarigam Factory</t>
  </si>
  <si>
    <t>Debtors - Shushant</t>
  </si>
  <si>
    <t>Bafana</t>
  </si>
  <si>
    <t>B G Exim</t>
  </si>
  <si>
    <t>Embroitex India</t>
  </si>
  <si>
    <t>Florance Creation</t>
  </si>
  <si>
    <t>Jai Creation</t>
  </si>
  <si>
    <t>Jai Tex Art</t>
  </si>
  <si>
    <t>Naresh Jain</t>
  </si>
  <si>
    <t>Vandesh Corporation</t>
  </si>
  <si>
    <t>Cash-in-Hand</t>
  </si>
  <si>
    <t>Prepaid Insurance</t>
  </si>
  <si>
    <t>Branch / Divisions</t>
  </si>
  <si>
    <t>Branch-Sales</t>
  </si>
  <si>
    <t>PEL-Sarigam UNIT 12 GODOWN</t>
  </si>
  <si>
    <t>Head Office-Collection &amp; Payment</t>
  </si>
  <si>
    <t>Pel-Bhiwandi</t>
  </si>
  <si>
    <t>Pel-Bobbin Lace</t>
  </si>
  <si>
    <t>Pel Coimbatore</t>
  </si>
  <si>
    <t>Pel-Exhibition-Mumbai</t>
  </si>
  <si>
    <t>PEL - Export</t>
  </si>
  <si>
    <t>Pel -General Div. - Naroli</t>
  </si>
  <si>
    <t>Pel-General Sarigam-Unit 12</t>
  </si>
  <si>
    <t>Pel-Gen-Sarigam</t>
  </si>
  <si>
    <t>Pel-Head Office[Mumbai]</t>
  </si>
  <si>
    <t>PEL - Multihead Emb Unit</t>
  </si>
  <si>
    <t>Pel-Sale Div-Sarigam Unit 12</t>
  </si>
  <si>
    <t>Pel - Sales Div - Naroli</t>
  </si>
  <si>
    <t>Pel-Sales Div-Sarigam</t>
  </si>
  <si>
    <t>Pel - Sales Exhibition - Sarigam</t>
  </si>
  <si>
    <t>Sales Accounts</t>
  </si>
  <si>
    <t>Sales F.G.</t>
  </si>
  <si>
    <t>Sales F.G - Duty Paid- Godown</t>
  </si>
  <si>
    <t>Sales Raw Materials</t>
  </si>
  <si>
    <t>Design Devlopment Charges</t>
  </si>
  <si>
    <t>Freight Realised</t>
  </si>
  <si>
    <t>Sale F G OMS - Unit No 12</t>
  </si>
  <si>
    <t>Sales - F G Local Unit No 12</t>
  </si>
  <si>
    <t>Sales - Jobwork - Local</t>
  </si>
  <si>
    <t>Sales-Jobwork-OMS</t>
  </si>
  <si>
    <t>Sales Other - Local</t>
  </si>
  <si>
    <t>Sales Others - OMS</t>
  </si>
  <si>
    <t>Purchase Accounts</t>
  </si>
  <si>
    <t>Purchase Bills to Pass</t>
  </si>
  <si>
    <t>Purchase Expenses</t>
  </si>
  <si>
    <t>Coolie &amp; Cartage - Purchase</t>
  </si>
  <si>
    <t>Courier Charges:Purchase</t>
  </si>
  <si>
    <t>Freight &amp; Octroi - Purchase</t>
  </si>
  <si>
    <t>Purchases Import</t>
  </si>
  <si>
    <t>Purchase - Yarn</t>
  </si>
  <si>
    <t>Purchase Return - Yarn</t>
  </si>
  <si>
    <t>Pur - Yarn - IInd Sale - Local</t>
  </si>
  <si>
    <t>Pur Yarn IInd Sale - OMS</t>
  </si>
  <si>
    <t>Dyeing &amp; Processing Exp</t>
  </si>
  <si>
    <t>Goods in Transit</t>
  </si>
  <si>
    <t>Purchase Fabric - Local</t>
  </si>
  <si>
    <t>Purchase - Fabric - Oms</t>
  </si>
  <si>
    <t>Purchase-Job Work Charges</t>
  </si>
  <si>
    <t>Purchase-Laces-Oms</t>
  </si>
  <si>
    <t>Purchase-Packing Mat - Local</t>
  </si>
  <si>
    <t>Purchase - Packing Mat - Oms</t>
  </si>
  <si>
    <t>Purchases - Needles</t>
  </si>
  <si>
    <t>Purchase Stores &amp; Spares</t>
  </si>
  <si>
    <t>Purchase Trading Goods OMS</t>
  </si>
  <si>
    <t>Twisting Charges</t>
  </si>
  <si>
    <t>Vatv - Purchases</t>
  </si>
  <si>
    <t>Vatv - Purchases- Fabric</t>
  </si>
  <si>
    <t>Yarn Jobwork</t>
  </si>
  <si>
    <t>Direct Expenses</t>
  </si>
  <si>
    <t>MANUFACTURING EXP.</t>
  </si>
  <si>
    <t>R &amp; M - Factory</t>
  </si>
  <si>
    <t>Embroidery Charges (Jobwork)</t>
  </si>
  <si>
    <t>Job Work Exp.</t>
  </si>
  <si>
    <t>Mending Charges</t>
  </si>
  <si>
    <t>Mending Charges - Sarigam 12</t>
  </si>
  <si>
    <t>Shearing Charges</t>
  </si>
  <si>
    <t>Purchase - Stores &amp; Spares</t>
  </si>
  <si>
    <t>Cutting &amp; Packing Charges</t>
  </si>
  <si>
    <t>Labour Charges</t>
  </si>
  <si>
    <t>Stores &amp; Spares</t>
  </si>
  <si>
    <t>Indirect Incomes</t>
  </si>
  <si>
    <t>Cheque Rtn Charges</t>
  </si>
  <si>
    <t>Sundry Balances Write Off A/c</t>
  </si>
  <si>
    <t>Indirect Expenses</t>
  </si>
  <si>
    <t>ADMINISTRATIVE EXP.</t>
  </si>
  <si>
    <t>Insruance Expenses</t>
  </si>
  <si>
    <t>Travelling &amp; Conveyance</t>
  </si>
  <si>
    <t>Electricity Charges</t>
  </si>
  <si>
    <t>Other General Exp.</t>
  </si>
  <si>
    <t>Printing &amp; Stationery</t>
  </si>
  <si>
    <t>Round Off</t>
  </si>
  <si>
    <t>Allocated Expenses:Head Office</t>
  </si>
  <si>
    <t>Allocated Expenses-Head Office</t>
  </si>
  <si>
    <t>Interest (On Fixed Assets &amp; W.C.)</t>
  </si>
  <si>
    <t>Labour Charges:Allocated</t>
  </si>
  <si>
    <t>Rent:Allocated</t>
  </si>
  <si>
    <t>Communication Expenses</t>
  </si>
  <si>
    <t>Financial Charges</t>
  </si>
  <si>
    <t>Interest Expenses</t>
  </si>
  <si>
    <t>Bank Charges</t>
  </si>
  <si>
    <t>L/C Charges</t>
  </si>
  <si>
    <t>PAYROLL EXP.</t>
  </si>
  <si>
    <t>Incentives to Staff</t>
  </si>
  <si>
    <t>P F &amp; ESIC Exp.</t>
  </si>
  <si>
    <t>Bonus</t>
  </si>
  <si>
    <t>Books &amp; Periodicals</t>
  </si>
  <si>
    <t>Conveyance Allowance</t>
  </si>
  <si>
    <t>Educational Allowance</t>
  </si>
  <si>
    <t>Food Allowance</t>
  </si>
  <si>
    <t>H R A</t>
  </si>
  <si>
    <t>Leave Salary</t>
  </si>
  <si>
    <t>Leave Travel Allowance</t>
  </si>
  <si>
    <t>Medical All/reimb</t>
  </si>
  <si>
    <t>Special Allowance to Staff</t>
  </si>
  <si>
    <t>Stipend</t>
  </si>
  <si>
    <t>Uniform Allowance</t>
  </si>
  <si>
    <t>RENT RATES &amp; TAXES</t>
  </si>
  <si>
    <t>Repair &amp; Maintanence Exp.</t>
  </si>
  <si>
    <t>R &amp; M - VEHICLE</t>
  </si>
  <si>
    <t>R&amp;M Building</t>
  </si>
  <si>
    <t>R &amp; M - Electricals</t>
  </si>
  <si>
    <t>R &amp; M - Furniture</t>
  </si>
  <si>
    <t>R &amp; M - Office Equipment</t>
  </si>
  <si>
    <t>R &amp; M - Others</t>
  </si>
  <si>
    <t>R &amp; M Vehicle (Tempo)</t>
  </si>
  <si>
    <t>SELLING EXP.</t>
  </si>
  <si>
    <t>Discount on Sales</t>
  </si>
  <si>
    <t>Commission &amp; Brokerage - Sale</t>
  </si>
  <si>
    <t>Coolie &amp; Cartage - Sales</t>
  </si>
  <si>
    <t>Freight &amp; Octroi - Sales</t>
  </si>
  <si>
    <t>Packing Charges</t>
  </si>
  <si>
    <t>Sampling Charges</t>
  </si>
  <si>
    <t>Allocated Exp- Sarigam 12</t>
  </si>
  <si>
    <t>Exchange Rate Fluctuation</t>
  </si>
  <si>
    <t>Inter Stock Trf - Purchase</t>
  </si>
  <si>
    <t>Ist- Purchase</t>
  </si>
  <si>
    <t>IST- Purchase-Exhibition Borivali</t>
  </si>
  <si>
    <t>Ist-Purchase-Fabric-Bhiwandi</t>
  </si>
  <si>
    <t>Ist-Purchase-Yarn-Bhiwandi</t>
  </si>
  <si>
    <t>IST - Packing Mat - Coimbatore</t>
  </si>
  <si>
    <t>Ist-Purchase-Fabric-Naroli</t>
  </si>
  <si>
    <t>Ist-Purchase-Fabric-Sarigam</t>
  </si>
  <si>
    <t>Ist-Purchase-Fg-Sarigam Unit 12</t>
  </si>
  <si>
    <t>Ist-Purchase-Jobwork-Fabric-Srg</t>
  </si>
  <si>
    <t>Ist - Purchases Delhi</t>
  </si>
  <si>
    <t>Ist - Purchases - Sarigam - Godown</t>
  </si>
  <si>
    <t>Ist - Purchase - Yarn - Multihead</t>
  </si>
  <si>
    <t>Ist-Purchase-Yarn-Naroli</t>
  </si>
  <si>
    <t>Ist-Purchase-Yarn-Sarigam</t>
  </si>
  <si>
    <t>Ist Purch Fabric Kolkatta</t>
  </si>
  <si>
    <t>Ist Purch Fabric - Surat</t>
  </si>
  <si>
    <t>Ist Purch Yarn Coimbatore</t>
  </si>
  <si>
    <t>Ist - Pur - Packing Mat - Sarigam</t>
  </si>
  <si>
    <t>Ist Pur - Sales Offfice T/T</t>
  </si>
  <si>
    <t>Inter Stock Trf - Sales</t>
  </si>
  <si>
    <t>IST - F.G.</t>
  </si>
  <si>
    <t>IST - Raw Materials</t>
  </si>
  <si>
    <t>Vatav - IST</t>
  </si>
  <si>
    <t>Grand Total</t>
  </si>
  <si>
    <t>Sales Branches</t>
  </si>
  <si>
    <t>Provision Taken</t>
  </si>
  <si>
    <t>FG</t>
  </si>
  <si>
    <t>JW</t>
  </si>
  <si>
    <t>RM</t>
  </si>
  <si>
    <t>other</t>
  </si>
  <si>
    <t>yarn</t>
  </si>
  <si>
    <t>Fab</t>
  </si>
  <si>
    <t>=905+59771+291825+173642.13</t>
  </si>
  <si>
    <t>Store</t>
  </si>
  <si>
    <t>wages</t>
  </si>
  <si>
    <t>Pack</t>
  </si>
  <si>
    <t>Mend</t>
  </si>
  <si>
    <t>Job</t>
  </si>
  <si>
    <t>Yarn RM</t>
  </si>
  <si>
    <t>Ist-Sale-Fabric-Multihead</t>
  </si>
  <si>
    <t>IST-Sale-Fabric-Naroli</t>
  </si>
  <si>
    <t>IST - Sale Fabric - Pel Coimbatore</t>
  </si>
  <si>
    <t>Ist-Sale-Fabric-Sarigam</t>
  </si>
  <si>
    <t>Ist-Sale-Yarn-Multihead</t>
  </si>
  <si>
    <t>IST - Sale Yarn - Pel Coimbatore</t>
  </si>
  <si>
    <t>Ist-Sale-Yarn-Sarigam</t>
  </si>
  <si>
    <t>fab</t>
  </si>
  <si>
    <t>pack</t>
  </si>
  <si>
    <t>job</t>
  </si>
  <si>
    <t>Cutting &amp; Packing charges (incl. IST)</t>
  </si>
  <si>
    <t>Job Work  &amp; Processing Charges Exps</t>
  </si>
  <si>
    <t>No. of shifts</t>
  </si>
  <si>
    <t>Per shift</t>
  </si>
  <si>
    <t xml:space="preserve">CONTRIBUTION </t>
  </si>
  <si>
    <t>A</t>
  </si>
  <si>
    <t>Manufacturing Charges</t>
  </si>
  <si>
    <t xml:space="preserve">Labour Charges </t>
  </si>
  <si>
    <t>Direct</t>
  </si>
  <si>
    <t>Bonus etc. to Direct Labour</t>
  </si>
  <si>
    <t>Personnel Expenses</t>
  </si>
  <si>
    <t>B</t>
  </si>
  <si>
    <t>Other Administration Charges</t>
  </si>
  <si>
    <t>Insurance Expenses</t>
  </si>
  <si>
    <t>Rent, Rates &amp; Taxes</t>
  </si>
  <si>
    <t>Repair &amp; Maintanence Exp. (Others)</t>
  </si>
  <si>
    <t>C</t>
  </si>
  <si>
    <t>Turnover Discount &amp; Commission</t>
  </si>
  <si>
    <t>D</t>
  </si>
  <si>
    <t>E</t>
  </si>
  <si>
    <t>F</t>
  </si>
  <si>
    <t>Total Manufacturing Expenses</t>
  </si>
  <si>
    <t>Naroli</t>
  </si>
  <si>
    <t>Multihead</t>
  </si>
  <si>
    <t>To Creditors for Goods</t>
  </si>
  <si>
    <t>To Other Liabilities</t>
  </si>
  <si>
    <t>include. Purchase Exps</t>
  </si>
  <si>
    <t>Manufacturing Exps</t>
  </si>
  <si>
    <t>incl. R&amp;M. Cutting &amp; Pacjking, mending etc</t>
  </si>
  <si>
    <t>To Fixed Assets</t>
  </si>
  <si>
    <t xml:space="preserve">Head Office Collection </t>
  </si>
  <si>
    <t>From Sales Branches</t>
  </si>
  <si>
    <t>PEL-Head Office</t>
  </si>
  <si>
    <t>L/c &amp; TDS</t>
  </si>
  <si>
    <t>Profit before working capital adjustments</t>
  </si>
  <si>
    <t>Change in working capital</t>
  </si>
  <si>
    <t>Debtors</t>
  </si>
  <si>
    <t>Creditors</t>
  </si>
  <si>
    <t>Cash from operations as per Cash Flow</t>
  </si>
  <si>
    <t>Branch Sales</t>
  </si>
  <si>
    <t>Bonus, Gratuity etc.</t>
  </si>
  <si>
    <t>Opening Stock as on 01.04.05</t>
  </si>
  <si>
    <t>Godown</t>
  </si>
  <si>
    <t>Unit 12 (Less 20%)</t>
  </si>
  <si>
    <t>Closing Stock as on 31.07.05</t>
  </si>
  <si>
    <t>Closing Stock as on 31.08.05</t>
  </si>
  <si>
    <t>Semi Finished Goods (Less 20%)</t>
  </si>
  <si>
    <t>Note:-</t>
  </si>
  <si>
    <t>The profit as per books exceeds the profit as per contribution sheet on account of timing difference and trading of goods.</t>
  </si>
  <si>
    <t>Profit / (Loss) before Interest &amp; Dep.</t>
  </si>
  <si>
    <t>Division: Lasser</t>
  </si>
  <si>
    <t>Month:   Apr'05 to Aug'05</t>
  </si>
  <si>
    <t>Monthly Profit &amp; Loss Account</t>
  </si>
  <si>
    <t>(Rs)</t>
  </si>
  <si>
    <t>Opening</t>
  </si>
  <si>
    <t>Transactions</t>
  </si>
  <si>
    <t>Closing</t>
  </si>
  <si>
    <t>Balance</t>
  </si>
  <si>
    <t>CURRENT LIABILITIES</t>
  </si>
  <si>
    <t>FIXED ASSETS</t>
  </si>
  <si>
    <t>CURRENT ASSETS</t>
  </si>
  <si>
    <t>Cash-in-hand</t>
  </si>
  <si>
    <t>BRANCH / DIVISIONS</t>
  </si>
  <si>
    <t>Head Office- Collection &amp; Paym</t>
  </si>
  <si>
    <t>PEL - Bhiwandi</t>
  </si>
  <si>
    <t>Pel - Bobbin Lace</t>
  </si>
  <si>
    <t>Pel Exhibition Mumbai</t>
  </si>
  <si>
    <t>Pel -General Div. -  Naroli</t>
  </si>
  <si>
    <t>PEL - Head Office [Mumbai]</t>
  </si>
  <si>
    <t>Pel - Sales Exhibition - Sarig</t>
  </si>
  <si>
    <t>Pel - Surat</t>
  </si>
  <si>
    <t>DIRECT EXPENSES</t>
  </si>
  <si>
    <t>INDIRECT INCOMES</t>
  </si>
  <si>
    <t>INDIRECT EXPENSES</t>
  </si>
  <si>
    <t>Inter Stock Trf. - Purchase</t>
  </si>
  <si>
    <t>Stock</t>
  </si>
  <si>
    <t>Increase/(Decrease)</t>
  </si>
  <si>
    <t>Branchs</t>
  </si>
  <si>
    <t>Weighing Scale</t>
  </si>
  <si>
    <t>Gokuldas Images Pvt.Ltd</t>
  </si>
  <si>
    <t>Octroi:Purchase</t>
  </si>
  <si>
    <t>R &amp; M  - Computer</t>
  </si>
  <si>
    <t>Octroi: Sales</t>
  </si>
  <si>
    <t>Ist Pur - Fabric Coimbatore</t>
  </si>
  <si>
    <t>Calculation of VATV:-</t>
  </si>
  <si>
    <t>Rate</t>
  </si>
  <si>
    <t>Disc</t>
  </si>
  <si>
    <t>TT</t>
  </si>
  <si>
    <t>Delhi</t>
  </si>
  <si>
    <t>Kolkata</t>
  </si>
  <si>
    <t>Ahmedabad</t>
  </si>
  <si>
    <t>Sales FG</t>
  </si>
  <si>
    <t>Sale FG Godown</t>
  </si>
  <si>
    <t>Sale FG OMS-Unit-12</t>
  </si>
  <si>
    <t>Sale FG Local-Unit-12</t>
  </si>
  <si>
    <t>Closing Stock as on 30.09.05</t>
  </si>
  <si>
    <t>Multihead Collection &amp; Payment</t>
  </si>
  <si>
    <t>Purchase - Job Work Charges</t>
  </si>
  <si>
    <t>ALLOCATED EXPENSES:HEAD OFFICE</t>
  </si>
  <si>
    <t>FINANCIAL CHARGES</t>
  </si>
  <si>
    <t>RENT, RATES &amp; TAXES</t>
  </si>
  <si>
    <t>Shree Ganesh Engineering</t>
  </si>
  <si>
    <t>Profit as per Tally</t>
  </si>
  <si>
    <t>G</t>
  </si>
  <si>
    <t>H</t>
  </si>
  <si>
    <t>I</t>
  </si>
  <si>
    <t>J</t>
  </si>
  <si>
    <t>K</t>
  </si>
  <si>
    <t>L</t>
  </si>
  <si>
    <t>JJ sons Sales return booked twicely.</t>
  </si>
  <si>
    <t>adjusted with debtors</t>
  </si>
  <si>
    <t>Others (incld. Tradinf of goods)</t>
  </si>
  <si>
    <t>Profit as per P &amp; L</t>
  </si>
  <si>
    <t>Selling</t>
  </si>
  <si>
    <t>Apr'05 to Oct'05</t>
  </si>
  <si>
    <t>Oct'05</t>
  </si>
  <si>
    <t>Date:10.11.05</t>
  </si>
  <si>
    <t>Debtors - Amit Bhansali</t>
  </si>
  <si>
    <t>Mahavir Traders</t>
  </si>
  <si>
    <t>Prepaid Expenses</t>
  </si>
  <si>
    <t>Purchase Rtn</t>
  </si>
  <si>
    <t>Allocated Expenses - Head Office</t>
  </si>
  <si>
    <t>Ist-Purchase-Job Work-Multihead</t>
  </si>
  <si>
    <t>Salary adjusted</t>
  </si>
  <si>
    <t>Fabric adjusted</t>
  </si>
  <si>
    <t>Trading of Goods</t>
  </si>
  <si>
    <t>Nov'05</t>
  </si>
  <si>
    <t>Apr'05 to Nov'05</t>
  </si>
  <si>
    <t>SUNDRY DEBTORS</t>
  </si>
  <si>
    <t>Debtors - Others</t>
  </si>
  <si>
    <t>CASH-IN-HAND</t>
  </si>
  <si>
    <t>Branch Exp.A/c</t>
  </si>
  <si>
    <t>LABOUR INCENTIVE</t>
  </si>
  <si>
    <t>Misc.Income</t>
  </si>
  <si>
    <t>Diwali Expenses</t>
  </si>
  <si>
    <t>Debtors- Hakoba</t>
  </si>
  <si>
    <t>Festival Exps</t>
  </si>
  <si>
    <t>Others (Incentives)</t>
  </si>
  <si>
    <t>Closing Stock as on 31.10.05</t>
  </si>
  <si>
    <t>Closing Stock as on 30.11.05</t>
  </si>
  <si>
    <t>Property Tax</t>
  </si>
  <si>
    <t>Month:    Apr'05 to Nov'05</t>
  </si>
  <si>
    <t>Import Exps</t>
  </si>
  <si>
    <t>Purchase-Fabric Import</t>
  </si>
  <si>
    <t>Purchase-Yarn Import</t>
  </si>
  <si>
    <t>Yarn Import</t>
  </si>
  <si>
    <t>Insurance Charges</t>
  </si>
  <si>
    <t>Sarigam Purchased</t>
  </si>
  <si>
    <t>Others (incld. Trading of goods)</t>
  </si>
  <si>
    <t>1-Apr-2005 to 31-Dec-2005</t>
  </si>
  <si>
    <t>0*0</t>
  </si>
  <si>
    <t>Ist-Sale-Yarn-Naroli</t>
  </si>
  <si>
    <t>Ist - Pur - Store &amp; Spares- Sarigam</t>
  </si>
  <si>
    <t>Balance Heads</t>
  </si>
  <si>
    <t>Internal audit Fees</t>
  </si>
  <si>
    <t>Vatv Purchase-Yarn</t>
  </si>
  <si>
    <t>Statutory Liabilities</t>
  </si>
  <si>
    <t>store</t>
  </si>
  <si>
    <t>Internal Audit Fees</t>
  </si>
  <si>
    <t>Closing Stock as on 31.12.05</t>
  </si>
  <si>
    <t>Needle</t>
  </si>
  <si>
    <t>CURRENT LIABILITIES &amp; PROVISIONS</t>
  </si>
  <si>
    <t>PROVISIONS &amp; PAYABLES</t>
  </si>
  <si>
    <t>Wages / Salary Payable</t>
  </si>
  <si>
    <t>Cutting &amp; Packing Payable</t>
  </si>
  <si>
    <t>Water Charges Payable</t>
  </si>
  <si>
    <t>STATUTORY LIABILITIES</t>
  </si>
  <si>
    <t>SUNDRY CREDITORS</t>
  </si>
  <si>
    <t>CURRENT ASSETS, LOANS &amp; ADVANCES</t>
  </si>
  <si>
    <t>LOANS &amp; ADVANCES (ASSET)</t>
  </si>
  <si>
    <t>Advance Tax  &amp; TDS Receivables</t>
  </si>
  <si>
    <t>Advance Against Order &amp; Expenses</t>
  </si>
  <si>
    <t>Staff Loan &amp; Advances</t>
  </si>
  <si>
    <t>Sundry Deposits</t>
  </si>
  <si>
    <t>SALES ACCOUNTS</t>
  </si>
  <si>
    <t>SALES-FINISHED GOODS</t>
  </si>
  <si>
    <t>SALES-JOB WORK</t>
  </si>
  <si>
    <t>SALES-OTHERS</t>
  </si>
  <si>
    <t>SALES-RAW MATERIAL</t>
  </si>
  <si>
    <t>PURCHASE ACCOUNTS</t>
  </si>
  <si>
    <t>Purchase Import</t>
  </si>
  <si>
    <t>Import Expenses</t>
  </si>
  <si>
    <t>Puchases - Store - Import</t>
  </si>
  <si>
    <t>Purchase - Fabric - Import</t>
  </si>
  <si>
    <t>Purchase - Yarn - Import</t>
  </si>
  <si>
    <t>Purchase Job Work</t>
  </si>
  <si>
    <t>Purchase Packing Materials</t>
  </si>
  <si>
    <t>Purchase Raw Material</t>
  </si>
  <si>
    <t>Purchase Semi Finished Goods</t>
  </si>
  <si>
    <t>Purchase - Laces - Oms</t>
  </si>
  <si>
    <t>Purchase Store &amp; Spares</t>
  </si>
  <si>
    <t>Store &amp; Spares</t>
  </si>
  <si>
    <t>Needles</t>
  </si>
  <si>
    <t>Other Store &amp; Spares</t>
  </si>
  <si>
    <t>LABOUR EXPENSES</t>
  </si>
  <si>
    <t>Dyeing &amp; Processing</t>
  </si>
  <si>
    <t>Misc Income</t>
  </si>
  <si>
    <t>ADMINISTRATIVE EXPENSES</t>
  </si>
  <si>
    <t>Festival Expenses</t>
  </si>
  <si>
    <t>Internal Audit Fee</t>
  </si>
  <si>
    <t>Other Insurance</t>
  </si>
  <si>
    <t>Postal &amp; Courier Expenses</t>
  </si>
  <si>
    <t>Interest  - TDS</t>
  </si>
  <si>
    <t>Rate Difference-Sidbi</t>
  </si>
  <si>
    <t>Commission &amp; Brokerage - Rent</t>
  </si>
  <si>
    <t>Medical Expenses</t>
  </si>
  <si>
    <t>Out of Pocket Exp.</t>
  </si>
  <si>
    <t>Rent for Employees</t>
  </si>
  <si>
    <t>Staff Welfare Exp</t>
  </si>
  <si>
    <t>Tea &amp; Refreshment Exp</t>
  </si>
  <si>
    <t>P F &amp; ESIC Expenses</t>
  </si>
  <si>
    <t>Bonus-Staff</t>
  </si>
  <si>
    <t>Leave Travel Allowance to Staff</t>
  </si>
  <si>
    <t>Medical Reimbursement</t>
  </si>
  <si>
    <t>Licence &amp; Registration Exp</t>
  </si>
  <si>
    <t>Rates &amp; Taxes</t>
  </si>
  <si>
    <t>REPAIR &amp; MAINTENANCE</t>
  </si>
  <si>
    <t>R &amp; M-Machine</t>
  </si>
  <si>
    <t>R &amp; M-Building</t>
  </si>
  <si>
    <t>R &amp; M-Computer</t>
  </si>
  <si>
    <t>R &amp; M-Electricals</t>
  </si>
  <si>
    <t>R &amp; M-Furniture</t>
  </si>
  <si>
    <t>R &amp; M-Office Equipment</t>
  </si>
  <si>
    <t>R &amp; M-Others</t>
  </si>
  <si>
    <t>R &amp; M-Vehicle</t>
  </si>
  <si>
    <t>SELLING EXPENSES</t>
  </si>
  <si>
    <t>Freight Expenses</t>
  </si>
  <si>
    <t>ALLOCATED EXP- SARIGAM 12</t>
  </si>
  <si>
    <t>EXCHANGE RATE FLUCTUATION</t>
  </si>
  <si>
    <t>INTER STOCK TRF- PURCHASE</t>
  </si>
  <si>
    <t>Ist - Purchase-Finished Goods</t>
  </si>
  <si>
    <t>Ist - Purchase-Packing Material</t>
  </si>
  <si>
    <t>Ist - Pur - Raw Material - Fabric</t>
  </si>
  <si>
    <t>Ist - Pur - Raw Material - Yarn</t>
  </si>
  <si>
    <t>Ist - Purchase-Semi Finished Goods</t>
  </si>
  <si>
    <t>Ist - Purchase-Stores &amp; Spares</t>
  </si>
  <si>
    <t>INTER STOCK TRF-SALES</t>
  </si>
  <si>
    <t>IST-SALES-FINISHED GOODS</t>
  </si>
  <si>
    <t>IST - SALES - RAW MATERIAL</t>
  </si>
  <si>
    <t>Ist - Sales - Fabric</t>
  </si>
  <si>
    <t>Ist - Sales -Yarn</t>
  </si>
  <si>
    <t>Ist - Purchase-Raw Material</t>
  </si>
  <si>
    <t>Ist - Pur - Fg - Sarigam Unit 12</t>
  </si>
  <si>
    <t>Ist - Pur - Job Work - Multihead</t>
  </si>
  <si>
    <t>Ist - Pur - Job Work - Sarigam</t>
  </si>
  <si>
    <t>Ist - Pur - S.F. Goods - Sarigam - Godown</t>
  </si>
  <si>
    <t>FAB</t>
  </si>
  <si>
    <t>YARN</t>
  </si>
  <si>
    <t>STORE</t>
  </si>
  <si>
    <t>PACK</t>
  </si>
  <si>
    <t>OTHER</t>
  </si>
  <si>
    <t>Income/Expenditures</t>
  </si>
  <si>
    <t>Sales-Other-Local</t>
  </si>
  <si>
    <t>Sales-Others-OMS</t>
  </si>
  <si>
    <t>Incentives to Workers</t>
  </si>
  <si>
    <t>Labour</t>
  </si>
  <si>
    <t>Elect</t>
  </si>
  <si>
    <t>Shearing</t>
  </si>
  <si>
    <t>Rent to Employees</t>
  </si>
  <si>
    <t>Feb</t>
  </si>
  <si>
    <t>Royal &amp; sarigam</t>
  </si>
  <si>
    <t>Description</t>
  </si>
  <si>
    <t>Variance</t>
  </si>
  <si>
    <t>Increase/</t>
  </si>
  <si>
    <t>(Decrease)</t>
  </si>
  <si>
    <t>Remarks</t>
  </si>
  <si>
    <t>Excess stores &amp; Spares purchased</t>
  </si>
  <si>
    <t>Rent, Rate &amp; Taxes</t>
  </si>
  <si>
    <t>Repair &amp; Maintenance Others</t>
  </si>
  <si>
    <t>Increased due to sale of old stock</t>
  </si>
  <si>
    <t>Rent to Workers</t>
  </si>
  <si>
    <t>No</t>
  </si>
  <si>
    <t>Sr.</t>
  </si>
  <si>
    <t>Profit/(Loss) after all expenses</t>
  </si>
  <si>
    <t>Manufacturing Exps before Dep.</t>
  </si>
  <si>
    <t>Interest &amp; Depreceiation</t>
  </si>
  <si>
    <t>Manufacturing Exps before</t>
  </si>
  <si>
    <t>Job Work  &amp; Proc. Charges Exps</t>
  </si>
  <si>
    <t xml:space="preserve">Note: </t>
  </si>
  <si>
    <t>Expenses incurred on Printing &amp; Stationary, Cutting &amp; Packing, Stores &amp; Spares are booked on purchase basis, hence the same will fluctuate on month to month basis.</t>
  </si>
  <si>
    <t>Sale Value</t>
  </si>
  <si>
    <t>(%)</t>
  </si>
  <si>
    <t>Explanation for major variance in various expenditures:-</t>
  </si>
  <si>
    <t>Repair &amp; Maintenance-Machines</t>
  </si>
  <si>
    <t>Turnover Discounts &amp; Provision</t>
  </si>
  <si>
    <t>for bad debts</t>
  </si>
  <si>
    <t>Detail of Store &amp; Spares purchased:-</t>
  </si>
  <si>
    <t>No.</t>
  </si>
  <si>
    <t>Lasser M/c Yarn Guide</t>
  </si>
  <si>
    <t>Spindle-Bobbine Machine</t>
  </si>
  <si>
    <t>Spray &amp; Feviquick</t>
  </si>
  <si>
    <t>Bobbin M/c Thread Ferrow</t>
  </si>
  <si>
    <t>Lasser M/c Braket</t>
  </si>
  <si>
    <t>Bearings</t>
  </si>
  <si>
    <t>Under Drive Pin &amp; Lock</t>
  </si>
  <si>
    <t>Ferrow under lock pin</t>
  </si>
  <si>
    <t>Misc</t>
  </si>
  <si>
    <t>Lasser M/c Needle lever</t>
  </si>
  <si>
    <t>Bobbin M/c Scissor Spring &amp; needle holder</t>
  </si>
  <si>
    <t>Stud &amp; Lock</t>
  </si>
  <si>
    <t>1-Jan-2006 to 31-Jan-2006</t>
  </si>
  <si>
    <t>Detail of Cuting &amp; Packing Material:-</t>
  </si>
  <si>
    <t>Packing Material</t>
  </si>
  <si>
    <t>Stiching Charges</t>
  </si>
  <si>
    <t>Unit 12 Allocation</t>
  </si>
  <si>
    <t>Cutting Charges</t>
  </si>
  <si>
    <t>a</t>
  </si>
  <si>
    <t>b</t>
  </si>
  <si>
    <t>c</t>
  </si>
  <si>
    <t>d</t>
  </si>
  <si>
    <t>Services</t>
  </si>
  <si>
    <t>Detail of Staff welfare exps</t>
  </si>
  <si>
    <t>Staff Welfare</t>
  </si>
  <si>
    <t>Out of Pocket Exps</t>
  </si>
  <si>
    <t>Medical Exps</t>
  </si>
  <si>
    <t>Opening Balance</t>
  </si>
  <si>
    <t>Bill Raised</t>
  </si>
  <si>
    <t>Collection</t>
  </si>
  <si>
    <t>Adjusted</t>
  </si>
  <si>
    <t>Detail of Sales &amp; Collection:-</t>
  </si>
  <si>
    <t>Sales Offices</t>
  </si>
  <si>
    <t>Sales-Jobwork</t>
  </si>
  <si>
    <t>Provision for Expenses</t>
  </si>
  <si>
    <t>INTER STOCK TRF-PURCHASE</t>
  </si>
  <si>
    <t>IST - SALES - FINISHED GOODS</t>
  </si>
  <si>
    <t>Increased due to conversion to three shift from 2 shift</t>
  </si>
  <si>
    <t>Increased due to excess mending.</t>
  </si>
  <si>
    <t>Increased mainly due to purchase of laser machine borer.</t>
  </si>
  <si>
    <t>Increased due to purchase of Icard, computer paper, misc stationary items etc.</t>
  </si>
  <si>
    <t>Decreased due to payment made to Joint director foreign trade Rs 6885  in last month.</t>
  </si>
  <si>
    <t>Increased due to higher OT during the month.</t>
  </si>
  <si>
    <t>Decreased in current month due to brokerage of Rs 9200 paid for 2 labour room during last month.</t>
  </si>
  <si>
    <t>Increased due to tempo operating cost due to excess visit to Sarigam.</t>
  </si>
  <si>
    <t>Interest SIDBI</t>
  </si>
  <si>
    <t>Increased due to accounting of same in current month.</t>
  </si>
  <si>
    <t>Decreased due to lower sale and lower proportion of sale to Kolakata.</t>
  </si>
  <si>
    <t>Decreased due to commission paid in last month.</t>
  </si>
  <si>
    <t>Month:   Apr'06</t>
  </si>
  <si>
    <t>as on 30.04.06</t>
  </si>
  <si>
    <t>1-Apr-2006 to 30-Apr-2006</t>
  </si>
  <si>
    <t>Apr'06</t>
  </si>
  <si>
    <t>Closing Stock as on 30.04.06</t>
  </si>
  <si>
    <t>Opening Stock as on 01.04.06</t>
  </si>
  <si>
    <t>Incentive to Labour</t>
  </si>
  <si>
    <t>Provision for Bonus etc.</t>
  </si>
  <si>
    <t>Turnover Discounts &amp; Commission</t>
  </si>
  <si>
    <t>IST - PURCHASE-RAW MATERIAL</t>
  </si>
  <si>
    <t>IST - PURCHASE-SEMI FINISHED GOODS</t>
  </si>
  <si>
    <t>Ist - Pur - Job Work -Process House</t>
  </si>
  <si>
    <t>Sampling Charges Received</t>
  </si>
  <si>
    <t>GP</t>
  </si>
  <si>
    <t>Increase In Stock</t>
  </si>
  <si>
    <t>WIP</t>
  </si>
  <si>
    <t>salary</t>
  </si>
  <si>
    <t>Contributiopn</t>
  </si>
  <si>
    <t>Budget</t>
  </si>
  <si>
    <t>April'06</t>
  </si>
  <si>
    <t>(Paid To Head Office net of Allocation)</t>
  </si>
  <si>
    <t>Del</t>
  </si>
  <si>
    <t>Kol</t>
  </si>
  <si>
    <t>cash</t>
  </si>
  <si>
    <t>HO allocation</t>
  </si>
  <si>
    <t>Division: Multihead</t>
  </si>
  <si>
    <t>CASh &amp; Bank</t>
  </si>
  <si>
    <t>Head Office</t>
  </si>
  <si>
    <t>Amount (Rs)</t>
  </si>
  <si>
    <t>Collection From Branch</t>
  </si>
  <si>
    <t>Other Recovery \ Adjustment</t>
  </si>
  <si>
    <t>Expenses Advance</t>
  </si>
  <si>
    <t>Advances agst Salary \ Wages</t>
  </si>
  <si>
    <t>Loan to workers \ Staff</t>
  </si>
  <si>
    <t xml:space="preserve">Welfare </t>
  </si>
  <si>
    <t>Vehicle  Running Expenses</t>
  </si>
  <si>
    <t>Legal and Professional Charges</t>
  </si>
  <si>
    <t>Finished  Goods  - CST Sales</t>
  </si>
  <si>
    <t xml:space="preserve">Finished  Goods  - TNGST Sales </t>
  </si>
  <si>
    <t xml:space="preserve">Job Work- CST </t>
  </si>
  <si>
    <t xml:space="preserve">Job Work- TNGST </t>
  </si>
  <si>
    <t>Inter Stock Transfer - FG</t>
  </si>
  <si>
    <t>Job Work- Mending</t>
  </si>
  <si>
    <t xml:space="preserve">Net Sales </t>
  </si>
  <si>
    <t>Repair &amp; Maintenance , Fuel -Tempo</t>
  </si>
  <si>
    <t>Electrical</t>
  </si>
  <si>
    <t>Boarding &amp; Lodging Expenses</t>
  </si>
  <si>
    <t>Welfare Expenses</t>
  </si>
  <si>
    <t>ESI &amp; P.F</t>
  </si>
  <si>
    <t>Semi Finished  Goods</t>
  </si>
  <si>
    <t>Legal &amp; Professional  Fees</t>
  </si>
  <si>
    <t>Salary, Wages and other Allowances</t>
  </si>
  <si>
    <t>Secured Loans</t>
  </si>
  <si>
    <t>Sampling Charges &amp; others</t>
  </si>
  <si>
    <t>ESI &amp; P.F and Dues</t>
  </si>
  <si>
    <t>Budgeted Upto Month</t>
  </si>
  <si>
    <t>Budgeted for Month</t>
  </si>
  <si>
    <t>Actual for Month</t>
  </si>
  <si>
    <t>Actual upto Month</t>
  </si>
  <si>
    <t>Travelling,Conveyance &amp; Boarding &amp; Lod</t>
  </si>
  <si>
    <t>Repair &amp; Maintenance Vehicle</t>
  </si>
  <si>
    <t xml:space="preserve">Others </t>
  </si>
  <si>
    <t>Cash Expenses ( Routine)</t>
  </si>
  <si>
    <t>Electricity Chgs</t>
  </si>
  <si>
    <t>Communication Exp</t>
  </si>
  <si>
    <t>General Exp - ( including other Admn Exp)</t>
  </si>
  <si>
    <t>General Exp.(other admin exp)</t>
  </si>
  <si>
    <t>SIDBI Payments</t>
  </si>
  <si>
    <t xml:space="preserve"> P a r t i c u l a r s </t>
  </si>
  <si>
    <t>Rs.</t>
  </si>
  <si>
    <t>Add:-</t>
  </si>
  <si>
    <t>Adjustment on Sales</t>
  </si>
  <si>
    <t>Less:-</t>
  </si>
  <si>
    <t xml:space="preserve">Adjustments on Collection </t>
  </si>
  <si>
    <t>AS PER TALLY ACCOUNTS</t>
  </si>
  <si>
    <t>Net opening balance of debtors</t>
  </si>
  <si>
    <t>Cheque payment returned</t>
  </si>
  <si>
    <t>Sampling Charges reversed/refunded</t>
  </si>
  <si>
    <t>Sundry Dr/Cr writeoff/writeback A/c</t>
  </si>
  <si>
    <t xml:space="preserve">Head Office </t>
  </si>
  <si>
    <t>F G - CST Sales (From godown 12 to Parties)</t>
  </si>
  <si>
    <t>Finished  Goods  - CST Sales (at godown 12)</t>
  </si>
  <si>
    <t xml:space="preserve">CST 4% </t>
  </si>
  <si>
    <t>Rate Diff /reco/other adj</t>
  </si>
  <si>
    <t xml:space="preserve">Breakup for Closing Balance </t>
  </si>
  <si>
    <t xml:space="preserve">Total </t>
  </si>
  <si>
    <t>DIFF-(Credit balance adjusting with debtors)</t>
  </si>
  <si>
    <t>Credit balance adjusting with debtors</t>
  </si>
  <si>
    <t xml:space="preserve">Pending </t>
  </si>
  <si>
    <t>S.N</t>
  </si>
  <si>
    <t>Up to 30</t>
  </si>
  <si>
    <t>31 to  60 Days</t>
  </si>
  <si>
    <t>61 - 90 Days</t>
  </si>
  <si>
    <t>91-180 Days</t>
  </si>
  <si>
    <t>181-365 Days</t>
  </si>
  <si>
    <t>above 1 Year</t>
  </si>
  <si>
    <t>Sales -CST</t>
  </si>
  <si>
    <t>Sales -TNGST</t>
  </si>
  <si>
    <t>Sales -Sampling Charges</t>
  </si>
  <si>
    <t>Contribution Statement</t>
  </si>
  <si>
    <t>CASH INFLOWS</t>
  </si>
  <si>
    <t>CASH OUTFLOWS</t>
  </si>
  <si>
    <t>Collection from Parties</t>
  </si>
  <si>
    <t>Carriage outward sales /Inwards debited</t>
  </si>
  <si>
    <t>Cash in hand</t>
  </si>
  <si>
    <t>Advertisement Expenses/knit Show</t>
  </si>
  <si>
    <t>Electrical / Others</t>
  </si>
  <si>
    <t>Received from HO</t>
  </si>
  <si>
    <t>Hakoba factory outlet stocks</t>
  </si>
  <si>
    <t>G.Total</t>
  </si>
  <si>
    <t>Inwards</t>
  </si>
  <si>
    <t>IST Sales(and Export thro Ho)</t>
  </si>
  <si>
    <t xml:space="preserve">TDS Certificates received </t>
  </si>
  <si>
    <t>AS PER DEBTORS AGING SCHEDULE</t>
  </si>
  <si>
    <t xml:space="preserve">Branch \ Division </t>
  </si>
  <si>
    <t>By PEL-Coimbatore (Excluding IST sales)</t>
  </si>
  <si>
    <t>Sales -CST-JW</t>
  </si>
  <si>
    <t>Sales - TNGST -JW</t>
  </si>
  <si>
    <t>Note :-</t>
  </si>
  <si>
    <t xml:space="preserve">Festival Exps/ Puja </t>
  </si>
  <si>
    <t>Coimbatore-19</t>
  </si>
  <si>
    <t>Collected by Head office</t>
  </si>
  <si>
    <t>Internal Audit Fees / (Provision reversed)</t>
  </si>
  <si>
    <t>Cash at Bank (BRS enclosed)</t>
  </si>
  <si>
    <t xml:space="preserve">Repair &amp; Maintainance </t>
  </si>
  <si>
    <t>Balance as per Bank :</t>
  </si>
  <si>
    <t>Amounts not reflected in Bank :</t>
  </si>
  <si>
    <t>Balance as per Company Books :</t>
  </si>
  <si>
    <t>Bank Payment</t>
  </si>
  <si>
    <t>Bank Receipt-UBI</t>
  </si>
  <si>
    <t>Vch Type</t>
  </si>
  <si>
    <t>Date</t>
  </si>
  <si>
    <t>(Reconciliation)</t>
  </si>
  <si>
    <t>1. Contribution:-</t>
  </si>
  <si>
    <t xml:space="preserve">Target Stiches        </t>
  </si>
  <si>
    <t>Nos</t>
  </si>
  <si>
    <t>Budgeted Stiches</t>
  </si>
  <si>
    <t>Actual Stiches</t>
  </si>
  <si>
    <t>Budgeted Efficiency</t>
  </si>
  <si>
    <t>%</t>
  </si>
  <si>
    <t>=D8/D7*100</t>
  </si>
  <si>
    <t>Actual Efficiency</t>
  </si>
  <si>
    <t>=D9/D7*100</t>
  </si>
  <si>
    <t>Budgeted Contribution</t>
  </si>
  <si>
    <t>Rs</t>
  </si>
  <si>
    <t>=D12-D13</t>
  </si>
  <si>
    <t>Actual Contribution</t>
  </si>
  <si>
    <t>Budgeted Rate / 1000 stitches</t>
  </si>
  <si>
    <t>=E14-D13</t>
  </si>
  <si>
    <t>Gain / (Loss) in Contribution due to Rate:-</t>
  </si>
  <si>
    <t>Weighted Mtrs</t>
  </si>
  <si>
    <t>efficeincy</t>
  </si>
  <si>
    <t>Budgeted Rate</t>
  </si>
  <si>
    <t>=D14</t>
  </si>
  <si>
    <t>Actual Rate</t>
  </si>
  <si>
    <t>=D15</t>
  </si>
  <si>
    <t>=D20-D19</t>
  </si>
  <si>
    <t>=D9*14.5/1000*D21</t>
  </si>
  <si>
    <t>Difference</t>
  </si>
  <si>
    <t>=D24-D25</t>
  </si>
  <si>
    <t>=(D26 x 14.5 / 1000) x 10.28</t>
  </si>
  <si>
    <t>Breakup of Loss due to Lower Efficiency</t>
  </si>
  <si>
    <t>Electrical &amp; Mechanical Break down</t>
  </si>
  <si>
    <t>No operator</t>
  </si>
  <si>
    <t>Program change</t>
  </si>
  <si>
    <t xml:space="preserve">  * Saleable mtrs = 14.5 Mtrs. (Average of 16 machines @ 14mtrs, 2machines @ 19mtrs)</t>
  </si>
  <si>
    <t>Funds Flow Statement</t>
  </si>
  <si>
    <t>Sources of Funds</t>
  </si>
  <si>
    <t>Application of Funds</t>
  </si>
  <si>
    <t>Net Profit as per Profit &amp; Loss Account</t>
  </si>
  <si>
    <t>Vehicle Loan</t>
  </si>
  <si>
    <t>for the month of May'08</t>
  </si>
  <si>
    <t>Figures in Rupees</t>
  </si>
  <si>
    <t>ASSETS</t>
  </si>
  <si>
    <t>LIABILITIES</t>
  </si>
  <si>
    <t>Payment Due to Employees</t>
  </si>
  <si>
    <t>Bank Accounts</t>
  </si>
  <si>
    <t>Accounts receivable</t>
  </si>
  <si>
    <t>Duties &amp; Taxes Payable</t>
  </si>
  <si>
    <t>Inventory</t>
  </si>
  <si>
    <t>Accounts Payable</t>
  </si>
  <si>
    <t>Loans, Advance &amp; Deposists</t>
  </si>
  <si>
    <t>Cheque in transit</t>
  </si>
  <si>
    <t>Total Current Assets</t>
  </si>
  <si>
    <t>Total Current Liabilities</t>
  </si>
  <si>
    <t xml:space="preserve">Loan Liability </t>
  </si>
  <si>
    <t xml:space="preserve">Land &amp; Development </t>
  </si>
  <si>
    <t>Buildings</t>
  </si>
  <si>
    <t>(less accumulated depreciation)</t>
  </si>
  <si>
    <t xml:space="preserve">Plant and Machinery </t>
  </si>
  <si>
    <t>Head Office accounts</t>
  </si>
  <si>
    <t>Chennai sales Office</t>
  </si>
  <si>
    <t>Furniture and fixtures</t>
  </si>
  <si>
    <t>Other Branch / Divisions</t>
  </si>
  <si>
    <t xml:space="preserve">Motor Car </t>
  </si>
  <si>
    <t>Total Branch / Divisions</t>
  </si>
  <si>
    <t xml:space="preserve">Computer </t>
  </si>
  <si>
    <t>Total Net Fixed Assets</t>
  </si>
  <si>
    <t>Profit/(Loss)</t>
  </si>
  <si>
    <t>TOTAL ASSETS</t>
  </si>
  <si>
    <t xml:space="preserve">TOTAL LIABILITIES </t>
  </si>
  <si>
    <t>May'08</t>
  </si>
  <si>
    <t>Profit &amp; Loss a/c for the month of May'2008</t>
  </si>
  <si>
    <t>Closing Balance of FG Inventory as on 31.05.2008</t>
  </si>
  <si>
    <t xml:space="preserve">PEL-Export </t>
  </si>
  <si>
    <t>Goods returns and all</t>
  </si>
  <si>
    <t>Expenses Debited reversed/Rate Diff</t>
  </si>
  <si>
    <t>Bobbin Lace Expansion Unit</t>
  </si>
  <si>
    <t xml:space="preserve">Office Equipments </t>
  </si>
  <si>
    <t>(less depreciation reserve)</t>
  </si>
  <si>
    <t>Uom</t>
  </si>
  <si>
    <t>@</t>
  </si>
  <si>
    <t>Qty</t>
  </si>
  <si>
    <t>Patties</t>
  </si>
  <si>
    <t>Mtrs</t>
  </si>
  <si>
    <t>From SF Inventory</t>
  </si>
  <si>
    <t>From Sales Return</t>
  </si>
  <si>
    <t xml:space="preserve">Outward </t>
  </si>
  <si>
    <t>Dispatched to customer (Stock Value)</t>
  </si>
  <si>
    <t>R-5854</t>
  </si>
  <si>
    <t>Pelc-1740-4</t>
  </si>
  <si>
    <t>C-701 Skin</t>
  </si>
  <si>
    <t>C-1568 Skin</t>
  </si>
  <si>
    <t xml:space="preserve">1] Sales return from Saranya Garments </t>
  </si>
  <si>
    <t>2] Sales Value of Finished goods sold Rs.286892/-</t>
  </si>
  <si>
    <t>Embroideries Fabric in Laces</t>
  </si>
  <si>
    <t xml:space="preserve">PV Embroderies </t>
  </si>
  <si>
    <t>Cotton Embroideries</t>
  </si>
  <si>
    <t>=D9*14.5/1000*D14</t>
  </si>
  <si>
    <t>Rate per 1000 Stiches</t>
  </si>
  <si>
    <t>Difference Loss</t>
  </si>
  <si>
    <t>Gross Loss due to Rate Diff</t>
  </si>
  <si>
    <t>Loss due to lower efficiency</t>
  </si>
  <si>
    <t>Total loss due to other Factor</t>
  </si>
  <si>
    <t>=D27+D35</t>
  </si>
  <si>
    <t>Net Loss due to Rate Diff</t>
  </si>
  <si>
    <t>=D22-D37</t>
  </si>
  <si>
    <t xml:space="preserve">MAY '08 </t>
  </si>
  <si>
    <t>Reason for variances</t>
  </si>
  <si>
    <t>Used for Sample (Stock Value)</t>
  </si>
  <si>
    <t>A g e w i s e     D u e</t>
  </si>
  <si>
    <t>Debtors Aging as on 31-05-2008</t>
  </si>
  <si>
    <t>Sr. No</t>
  </si>
  <si>
    <t>TOTAL</t>
  </si>
  <si>
    <t>AMOUNT</t>
  </si>
  <si>
    <t>UPTO30 Days</t>
  </si>
  <si>
    <t>31 - 60 Days</t>
  </si>
  <si>
    <t>Creditors-AMC</t>
  </si>
  <si>
    <t>Megatech Engineers</t>
  </si>
  <si>
    <t>Creditors - Fuel, Stores &amp; Consu.,</t>
  </si>
  <si>
    <t>T o t a l</t>
  </si>
  <si>
    <t xml:space="preserve">Creditors - legal &amp; Listing </t>
  </si>
  <si>
    <t>Creditors -Ele &amp; Miscellaneous</t>
  </si>
  <si>
    <t>Creditors-Courier, Printg &amp; Stationery</t>
  </si>
  <si>
    <t>Creditors - Raw Materials</t>
  </si>
  <si>
    <t xml:space="preserve">Creditors - Transports &amp; Clearing </t>
  </si>
  <si>
    <t>G T o t a l</t>
  </si>
  <si>
    <t>Advance received from debtors</t>
  </si>
  <si>
    <t>Advance Paid to creditors</t>
  </si>
  <si>
    <t>Online UPS</t>
  </si>
  <si>
    <t>SIDBI Direct Payment A/c</t>
  </si>
  <si>
    <t xml:space="preserve">Ho allocation expenses </t>
  </si>
  <si>
    <t xml:space="preserve">Allocated Interest </t>
  </si>
  <si>
    <t>Allocated Depreciation</t>
  </si>
  <si>
    <t xml:space="preserve">Branch and Division </t>
  </si>
  <si>
    <t>Current Period-Loss</t>
  </si>
  <si>
    <t>decrease in Working Capital</t>
  </si>
  <si>
    <t>Balance Sheet as on 31.5.2008</t>
  </si>
  <si>
    <t>Provision written back</t>
  </si>
  <si>
    <t>Cheques received</t>
  </si>
  <si>
    <t>June'08</t>
  </si>
  <si>
    <t>Up to June'08</t>
  </si>
  <si>
    <t>Actual for P.Month</t>
  </si>
  <si>
    <t>1-JUNE-2008 to 31-JUNE-2008</t>
  </si>
  <si>
    <t>Cash Flow Statement for the month of June-2008</t>
  </si>
  <si>
    <t>Bank Date</t>
  </si>
  <si>
    <t>Finished Goods Flow for the month of June'2008</t>
  </si>
  <si>
    <t>Opening Balance of FG (as on 1.6.2008)</t>
  </si>
  <si>
    <t>Summarised Details Of Sales and Collection for the month of June'08</t>
  </si>
  <si>
    <t>Debtors Aging as on 31-06-2008</t>
  </si>
  <si>
    <t>Bills Raised during the month</t>
  </si>
  <si>
    <t xml:space="preserve">Opening Balance of Debtors </t>
  </si>
  <si>
    <t xml:space="preserve">Collection during the month </t>
  </si>
  <si>
    <t xml:space="preserve">Closing Balance of Debtors </t>
  </si>
  <si>
    <t>.</t>
  </si>
  <si>
    <t>Branc A</t>
  </si>
  <si>
    <t>Branc B</t>
  </si>
  <si>
    <t>Branc C</t>
  </si>
  <si>
    <t>Branc D</t>
  </si>
  <si>
    <t xml:space="preserve">Company Name </t>
  </si>
  <si>
    <t>DIFF-(Credit balance adjusting with debtors-M/s If any customer having)</t>
  </si>
  <si>
    <t>Debtors-Region A</t>
  </si>
  <si>
    <t>Debtors-Region B</t>
  </si>
  <si>
    <t>Company Name</t>
  </si>
  <si>
    <t>Company Name here</t>
  </si>
  <si>
    <t>BRS  as on 30th June '2008 [Bank Name and Branch Place]</t>
  </si>
  <si>
    <t xml:space="preserve"> Logo here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</si>
</sst>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0.0"/>
    <numFmt numFmtId="187" formatCode="#,##0.0"/>
    <numFmt numFmtId="188" formatCode="0_);\(0\)"/>
    <numFmt numFmtId="189" formatCode="_(* #,##0.0_);_(* \(#,##0.0\);_(* &quot;-&quot;?_);_(@_)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"/>
    <numFmt numFmtId="196" formatCode="#,##0.0_);\(#,##0.0\)"/>
    <numFmt numFmtId="197" formatCode="#,##0.00000000_);\(#,##0.00000000\)"/>
    <numFmt numFmtId="198" formatCode="#,##0.0000000_);\(#,##0.0000000\)"/>
    <numFmt numFmtId="199" formatCode="#,##0.000000_);\(#,##0.000000\)"/>
    <numFmt numFmtId="200" formatCode="#,##0.00000_);\(#,##0.00000\)"/>
    <numFmt numFmtId="201" formatCode="#,##0.0000_);\(#,##0.0000\)"/>
    <numFmt numFmtId="202" formatCode="#,##0.000_);\(#,##0.000\)"/>
    <numFmt numFmtId="203" formatCode="#,##0.000000000_);\(#,##0.000000000\)"/>
    <numFmt numFmtId="204" formatCode="_(* #,##0.0_);_(* \(#,##0.0\);_(* &quot;-&quot;_);_(@_)"/>
    <numFmt numFmtId="205" formatCode="_(* #,##0.00_);_(* \(#,##0.00\);_(* &quot;-&quot;_);_(@_)"/>
    <numFmt numFmtId="206" formatCode="[$-409]mmmm\-yy;@"/>
    <numFmt numFmtId="207" formatCode="#,##0.00;[Red]#,##0.00"/>
    <numFmt numFmtId="208" formatCode="0.00_);\(0.00\)"/>
    <numFmt numFmtId="209" formatCode="0.000000"/>
    <numFmt numFmtId="210" formatCode="0.0_);\(0.0\)"/>
    <numFmt numFmtId="211" formatCode="#,##0.0_);[Red]\(#,##0.0\)"/>
    <numFmt numFmtId="212" formatCode="dd/mm/yyyy"/>
    <numFmt numFmtId="213" formatCode="&quot;&quot;0.00"/>
    <numFmt numFmtId="214" formatCode="_-* #,##0_-;\-* #,##0_-;_-* &quot;-&quot;??_-;_-@_-"/>
    <numFmt numFmtId="215" formatCode="dd/mm/yyyy;@"/>
    <numFmt numFmtId="216" formatCode="_-* #,##0.0_-;\-* #,##0.0_-;_-* &quot;-&quot;??_-;_-@_-"/>
    <numFmt numFmtId="217" formatCode="0.0000000"/>
    <numFmt numFmtId="218" formatCode="0.00000"/>
  </numFmts>
  <fonts count="8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4"/>
      <name val="Century Gothic"/>
      <family val="2"/>
    </font>
    <font>
      <sz val="16"/>
      <name val="Century Gothic"/>
      <family val="2"/>
    </font>
    <font>
      <b/>
      <u val="single"/>
      <sz val="16"/>
      <name val="Century Gothic"/>
      <family val="2"/>
    </font>
    <font>
      <b/>
      <sz val="16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b/>
      <u val="single"/>
      <sz val="14"/>
      <name val="Century Gothic"/>
      <family val="2"/>
    </font>
    <font>
      <b/>
      <sz val="18"/>
      <name val="Century Gothic"/>
      <family val="2"/>
    </font>
    <font>
      <u val="single"/>
      <sz val="20"/>
      <name val="Century Gothic"/>
      <family val="2"/>
    </font>
    <font>
      <b/>
      <i/>
      <u val="single"/>
      <sz val="18"/>
      <name val="Century Gothic"/>
      <family val="2"/>
    </font>
    <font>
      <b/>
      <sz val="20"/>
      <name val="Century Gothic"/>
      <family val="2"/>
    </font>
    <font>
      <b/>
      <u val="single"/>
      <sz val="20"/>
      <name val="Century Gothic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sz val="18"/>
      <color indexed="59"/>
      <name val="Verdana"/>
      <family val="2"/>
    </font>
    <font>
      <b/>
      <sz val="11"/>
      <color indexed="9"/>
      <name val="Verdana"/>
      <family val="2"/>
    </font>
    <font>
      <b/>
      <sz val="10"/>
      <color indexed="55"/>
      <name val="Verdana"/>
      <family val="2"/>
    </font>
    <font>
      <b/>
      <sz val="14"/>
      <name val="Verdana"/>
      <family val="2"/>
    </font>
    <font>
      <b/>
      <sz val="16"/>
      <color indexed="9"/>
      <name val="Century Gothic"/>
      <family val="2"/>
    </font>
    <font>
      <b/>
      <sz val="14"/>
      <color indexed="9"/>
      <name val="Verdana"/>
      <family val="2"/>
    </font>
    <font>
      <b/>
      <sz val="20"/>
      <color indexed="56"/>
      <name val="Century Gothic"/>
      <family val="2"/>
    </font>
    <font>
      <b/>
      <u val="single"/>
      <sz val="20"/>
      <name val="Comic Sans MS"/>
      <family val="4"/>
    </font>
    <font>
      <b/>
      <sz val="18"/>
      <color indexed="9"/>
      <name val="Century Gothic"/>
      <family val="2"/>
    </font>
    <font>
      <sz val="14"/>
      <color indexed="9"/>
      <name val="Century Gothic"/>
      <family val="2"/>
    </font>
    <font>
      <sz val="24"/>
      <name val="Century Gothic"/>
      <family val="2"/>
    </font>
    <font>
      <b/>
      <u val="single"/>
      <sz val="24"/>
      <name val="Century Gothic"/>
      <family val="2"/>
    </font>
    <font>
      <u val="single"/>
      <sz val="24"/>
      <name val="Century Gothic"/>
      <family val="2"/>
    </font>
    <font>
      <sz val="10"/>
      <name val="Century Gothic"/>
      <family val="2"/>
    </font>
    <font>
      <b/>
      <u val="single"/>
      <sz val="18"/>
      <name val="Century Gothic"/>
      <family val="2"/>
    </font>
    <font>
      <b/>
      <u val="single"/>
      <sz val="10"/>
      <name val="Arial"/>
      <family val="2"/>
    </font>
    <font>
      <b/>
      <sz val="18"/>
      <color indexed="10"/>
      <name val="Century Gothic"/>
      <family val="2"/>
    </font>
    <font>
      <b/>
      <u val="single"/>
      <sz val="18"/>
      <name val="Verdana"/>
      <family val="2"/>
    </font>
    <font>
      <b/>
      <sz val="14"/>
      <color indexed="10"/>
      <name val="Century Gothic"/>
      <family val="2"/>
    </font>
    <font>
      <sz val="10"/>
      <color indexed="10"/>
      <name val="Arial"/>
      <family val="0"/>
    </font>
    <font>
      <b/>
      <i/>
      <sz val="10"/>
      <name val="Arial"/>
      <family val="0"/>
    </font>
    <font>
      <sz val="14"/>
      <name val="Verdana"/>
      <family val="2"/>
    </font>
    <font>
      <sz val="14"/>
      <name val="Arial"/>
      <family val="0"/>
    </font>
    <font>
      <u val="single"/>
      <sz val="14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Lucida Console"/>
      <family val="3"/>
    </font>
    <font>
      <b/>
      <sz val="12"/>
      <color indexed="20"/>
      <name val="Lucida Console"/>
      <family val="3"/>
    </font>
    <font>
      <b/>
      <sz val="10"/>
      <color indexed="18"/>
      <name val="Lucida Console"/>
      <family val="3"/>
    </font>
    <font>
      <b/>
      <sz val="10"/>
      <color indexed="9"/>
      <name val="Lucida Console"/>
      <family val="3"/>
    </font>
    <font>
      <b/>
      <sz val="11"/>
      <name val="Lucida Console"/>
      <family val="3"/>
    </font>
    <font>
      <sz val="11"/>
      <name val="Lucida Console"/>
      <family val="3"/>
    </font>
    <font>
      <b/>
      <sz val="10"/>
      <color indexed="10"/>
      <name val="Lucida Console"/>
      <family val="3"/>
    </font>
    <font>
      <b/>
      <sz val="10"/>
      <name val="Lucida Console"/>
      <family val="3"/>
    </font>
    <font>
      <sz val="12"/>
      <color indexed="10"/>
      <name val="Lucida Console"/>
      <family val="3"/>
    </font>
    <font>
      <b/>
      <sz val="18"/>
      <color indexed="18"/>
      <name val="Lucida Console"/>
      <family val="3"/>
    </font>
    <font>
      <u val="single"/>
      <sz val="18"/>
      <name val="Century Gothic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sz val="26"/>
      <color indexed="63"/>
      <name val="Franklin Gothic Demi"/>
      <family val="0"/>
    </font>
    <font>
      <sz val="15"/>
      <color indexed="63"/>
      <name val="Franklin Gothic Book"/>
      <family val="0"/>
    </font>
    <font>
      <sz val="24"/>
      <color indexed="63"/>
      <name val="Franklin Gothic Book"/>
      <family val="0"/>
    </font>
    <font>
      <sz val="26"/>
      <color indexed="63"/>
      <name val="Franklin Gothic Book"/>
      <family val="0"/>
    </font>
    <font>
      <sz val="11"/>
      <name val="Century Gothic"/>
      <family val="2"/>
    </font>
    <font>
      <b/>
      <sz val="11"/>
      <name val="Century Gothic"/>
      <family val="2"/>
    </font>
    <font>
      <b/>
      <sz val="9"/>
      <color indexed="12"/>
      <name val="Verdana"/>
      <family val="2"/>
    </font>
    <font>
      <b/>
      <sz val="9"/>
      <name val="Verdana"/>
      <family val="2"/>
    </font>
    <font>
      <b/>
      <sz val="15"/>
      <color indexed="63"/>
      <name val="Franklin Gothic Book"/>
      <family val="2"/>
    </font>
    <font>
      <sz val="15"/>
      <color indexed="63"/>
      <name val="Book Antiqua"/>
      <family val="1"/>
    </font>
    <font>
      <i/>
      <sz val="10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9" fontId="3" fillId="0" borderId="0" xfId="0" applyNumberFormat="1" applyFont="1" applyFill="1" applyAlignment="1">
      <alignment/>
    </xf>
    <xf numFmtId="180" fontId="1" fillId="0" borderId="1" xfId="15" applyNumberFormat="1" applyFont="1" applyBorder="1" applyAlignment="1">
      <alignment/>
    </xf>
    <xf numFmtId="39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39" fontId="3" fillId="0" borderId="1" xfId="0" applyNumberFormat="1" applyFont="1" applyFill="1" applyBorder="1" applyAlignment="1">
      <alignment horizontal="left"/>
    </xf>
    <xf numFmtId="39" fontId="3" fillId="0" borderId="1" xfId="0" applyNumberFormat="1" applyFont="1" applyFill="1" applyBorder="1" applyAlignment="1">
      <alignment horizontal="center"/>
    </xf>
    <xf numFmtId="39" fontId="3" fillId="2" borderId="1" xfId="0" applyNumberFormat="1" applyFont="1" applyFill="1" applyBorder="1" applyAlignment="1">
      <alignment horizontal="left"/>
    </xf>
    <xf numFmtId="39" fontId="3" fillId="2" borderId="1" xfId="0" applyNumberFormat="1" applyFont="1" applyFill="1" applyBorder="1" applyAlignment="1">
      <alignment horizontal="right"/>
    </xf>
    <xf numFmtId="39" fontId="3" fillId="0" borderId="1" xfId="0" applyNumberFormat="1" applyFont="1" applyFill="1" applyBorder="1" applyAlignment="1">
      <alignment horizontal="right"/>
    </xf>
    <xf numFmtId="39" fontId="3" fillId="0" borderId="1" xfId="0" applyNumberFormat="1" applyFont="1" applyFill="1" applyBorder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2" fillId="0" borderId="0" xfId="0" applyNumberFormat="1" applyFont="1" applyBorder="1" applyAlignment="1">
      <alignment/>
    </xf>
    <xf numFmtId="37" fontId="1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0" fillId="0" borderId="0" xfId="0" applyNumberFormat="1" applyAlignment="1">
      <alignment horizontal="justify" wrapText="1"/>
    </xf>
    <xf numFmtId="41" fontId="1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7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7" fontId="0" fillId="0" borderId="0" xfId="0" applyNumberFormat="1" applyAlignment="1">
      <alignment/>
    </xf>
    <xf numFmtId="37" fontId="2" fillId="0" borderId="9" xfId="0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2" fillId="0" borderId="1" xfId="15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 quotePrefix="1">
      <alignment/>
    </xf>
    <xf numFmtId="41" fontId="1" fillId="2" borderId="1" xfId="0" applyNumberFormat="1" applyFont="1" applyFill="1" applyBorder="1" applyAlignment="1" quotePrefix="1">
      <alignment/>
    </xf>
    <xf numFmtId="188" fontId="8" fillId="0" borderId="0" xfId="0" applyNumberFormat="1" applyFont="1" applyFill="1" applyAlignment="1">
      <alignment/>
    </xf>
    <xf numFmtId="41" fontId="1" fillId="0" borderId="1" xfId="0" applyNumberFormat="1" applyFont="1" applyBorder="1" applyAlignment="1" quotePrefix="1">
      <alignment/>
    </xf>
    <xf numFmtId="41" fontId="1" fillId="0" borderId="2" xfId="0" applyNumberFormat="1" applyFont="1" applyBorder="1" applyAlignment="1">
      <alignment/>
    </xf>
    <xf numFmtId="43" fontId="0" fillId="0" borderId="0" xfId="15" applyAlignment="1">
      <alignment/>
    </xf>
    <xf numFmtId="39" fontId="0" fillId="0" borderId="1" xfId="0" applyNumberFormat="1" applyFont="1" applyFill="1" applyBorder="1" applyAlignment="1">
      <alignment horizontal="left"/>
    </xf>
    <xf numFmtId="39" fontId="0" fillId="3" borderId="1" xfId="0" applyNumberFormat="1" applyFont="1" applyFill="1" applyBorder="1" applyAlignment="1">
      <alignment horizontal="left"/>
    </xf>
    <xf numFmtId="188" fontId="8" fillId="4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1" xfId="0" applyNumberFormat="1" applyFont="1" applyFill="1" applyBorder="1" applyAlignment="1">
      <alignment/>
    </xf>
    <xf numFmtId="39" fontId="0" fillId="0" borderId="1" xfId="0" applyNumberFormat="1" applyFont="1" applyFill="1" applyBorder="1" applyAlignment="1">
      <alignment horizontal="right"/>
    </xf>
    <xf numFmtId="39" fontId="0" fillId="3" borderId="1" xfId="0" applyNumberFormat="1" applyFont="1" applyFill="1" applyBorder="1" applyAlignment="1">
      <alignment horizontal="right"/>
    </xf>
    <xf numFmtId="43" fontId="0" fillId="3" borderId="1" xfId="15" applyFont="1" applyFill="1" applyBorder="1" applyAlignment="1">
      <alignment horizontal="right"/>
    </xf>
    <xf numFmtId="39" fontId="0" fillId="4" borderId="1" xfId="0" applyNumberFormat="1" applyFont="1" applyFill="1" applyBorder="1" applyAlignment="1">
      <alignment horizontal="left"/>
    </xf>
    <xf numFmtId="43" fontId="0" fillId="4" borderId="1" xfId="15" applyFont="1" applyFill="1" applyBorder="1" applyAlignment="1">
      <alignment horizontal="right"/>
    </xf>
    <xf numFmtId="39" fontId="0" fillId="4" borderId="1" xfId="0" applyNumberFormat="1" applyFont="1" applyFill="1" applyBorder="1" applyAlignment="1">
      <alignment horizontal="right"/>
    </xf>
    <xf numFmtId="43" fontId="0" fillId="0" borderId="1" xfId="15" applyFont="1" applyFill="1" applyBorder="1" applyAlignment="1">
      <alignment horizontal="right"/>
    </xf>
    <xf numFmtId="188" fontId="0" fillId="4" borderId="0" xfId="0" applyNumberFormat="1" applyFont="1" applyFill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39" fontId="0" fillId="0" borderId="0" xfId="0" applyNumberFormat="1" applyFont="1" applyFill="1" applyAlignment="1" quotePrefix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43" fontId="0" fillId="0" borderId="1" xfId="15" applyBorder="1" applyAlignment="1">
      <alignment/>
    </xf>
    <xf numFmtId="43" fontId="3" fillId="0" borderId="1" xfId="15" applyFont="1" applyBorder="1" applyAlignment="1">
      <alignment/>
    </xf>
    <xf numFmtId="0" fontId="3" fillId="2" borderId="1" xfId="0" applyFont="1" applyFill="1" applyBorder="1" applyAlignment="1">
      <alignment/>
    </xf>
    <xf numFmtId="43" fontId="3" fillId="2" borderId="1" xfId="15" applyFont="1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39" fontId="3" fillId="5" borderId="1" xfId="0" applyNumberFormat="1" applyFont="1" applyFill="1" applyBorder="1" applyAlignment="1">
      <alignment horizontal="left"/>
    </xf>
    <xf numFmtId="39" fontId="3" fillId="5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3" fontId="0" fillId="6" borderId="1" xfId="15" applyFill="1" applyBorder="1" applyAlignment="1">
      <alignment/>
    </xf>
    <xf numFmtId="0" fontId="3" fillId="3" borderId="1" xfId="0" applyFont="1" applyFill="1" applyBorder="1" applyAlignment="1">
      <alignment/>
    </xf>
    <xf numFmtId="43" fontId="3" fillId="3" borderId="1" xfId="15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9" fontId="3" fillId="5" borderId="1" xfId="0" applyNumberFormat="1" applyFont="1" applyFill="1" applyBorder="1" applyAlignment="1" quotePrefix="1">
      <alignment/>
    </xf>
    <xf numFmtId="39" fontId="3" fillId="7" borderId="1" xfId="0" applyNumberFormat="1" applyFont="1" applyFill="1" applyBorder="1" applyAlignment="1" quotePrefix="1">
      <alignment/>
    </xf>
    <xf numFmtId="43" fontId="0" fillId="7" borderId="1" xfId="15" applyFill="1" applyBorder="1" applyAlignment="1">
      <alignment/>
    </xf>
    <xf numFmtId="0" fontId="0" fillId="7" borderId="1" xfId="0" applyFill="1" applyBorder="1" applyAlignment="1">
      <alignment/>
    </xf>
    <xf numFmtId="43" fontId="3" fillId="7" borderId="1" xfId="15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quotePrefix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justify" vertical="top"/>
    </xf>
    <xf numFmtId="3" fontId="2" fillId="0" borderId="1" xfId="0" applyNumberFormat="1" applyFont="1" applyFill="1" applyBorder="1" applyAlignment="1">
      <alignment horizontal="justify" vertical="top"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3" fontId="1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180" fontId="1" fillId="0" borderId="2" xfId="15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3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80" fontId="1" fillId="0" borderId="3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7" fontId="1" fillId="0" borderId="2" xfId="0" applyNumberFormat="1" applyFont="1" applyBorder="1" applyAlignment="1">
      <alignment wrapText="1"/>
    </xf>
    <xf numFmtId="37" fontId="1" fillId="0" borderId="13" xfId="0" applyNumberFormat="1" applyFont="1" applyBorder="1" applyAlignment="1">
      <alignment horizontal="justify" wrapText="1"/>
    </xf>
    <xf numFmtId="0" fontId="1" fillId="2" borderId="13" xfId="0" applyFont="1" applyFill="1" applyBorder="1" applyAlignment="1">
      <alignment horizontal="justify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3" xfId="0" applyFont="1" applyBorder="1" applyAlignment="1">
      <alignment horizontal="center"/>
    </xf>
    <xf numFmtId="180" fontId="2" fillId="0" borderId="2" xfId="15" applyNumberFormat="1" applyFont="1" applyBorder="1" applyAlignment="1">
      <alignment horizontal="center"/>
    </xf>
    <xf numFmtId="180" fontId="2" fillId="0" borderId="13" xfId="15" applyNumberFormat="1" applyFont="1" applyBorder="1" applyAlignment="1">
      <alignment horizontal="center"/>
    </xf>
    <xf numFmtId="180" fontId="2" fillId="0" borderId="3" xfId="15" applyNumberFormat="1" applyFont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left"/>
    </xf>
    <xf numFmtId="180" fontId="3" fillId="0" borderId="0" xfId="15" applyNumberFormat="1" applyFont="1" applyAlignment="1">
      <alignment horizontal="center"/>
    </xf>
    <xf numFmtId="180" fontId="3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180" fontId="1" fillId="0" borderId="1" xfId="15" applyNumberFormat="1" applyFont="1" applyFill="1" applyBorder="1" applyAlignment="1">
      <alignment/>
    </xf>
    <xf numFmtId="37" fontId="1" fillId="0" borderId="0" xfId="0" applyNumberFormat="1" applyFont="1" applyFill="1" applyBorder="1" applyAlignment="1" quotePrefix="1">
      <alignment/>
    </xf>
    <xf numFmtId="41" fontId="1" fillId="0" borderId="1" xfId="0" applyNumberFormat="1" applyFont="1" applyFill="1" applyBorder="1" applyAlignment="1" quotePrefix="1">
      <alignment/>
    </xf>
    <xf numFmtId="37" fontId="1" fillId="0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9" fillId="3" borderId="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37" fontId="1" fillId="0" borderId="3" xfId="0" applyNumberFormat="1" applyFont="1" applyBorder="1" applyAlignment="1">
      <alignment horizontal="justify"/>
    </xf>
    <xf numFmtId="37" fontId="1" fillId="0" borderId="13" xfId="0" applyNumberFormat="1" applyFont="1" applyBorder="1" applyAlignment="1">
      <alignment vertical="top"/>
    </xf>
    <xf numFmtId="37" fontId="1" fillId="0" borderId="13" xfId="0" applyNumberFormat="1" applyFont="1" applyBorder="1" applyAlignment="1">
      <alignment/>
    </xf>
    <xf numFmtId="180" fontId="0" fillId="0" borderId="1" xfId="15" applyNumberFormat="1" applyBorder="1" applyAlignment="1">
      <alignment/>
    </xf>
    <xf numFmtId="180" fontId="3" fillId="0" borderId="1" xfId="15" applyNumberFormat="1" applyFont="1" applyBorder="1" applyAlignment="1">
      <alignment/>
    </xf>
    <xf numFmtId="180" fontId="0" fillId="0" borderId="0" xfId="15" applyNumberFormat="1" applyAlignment="1">
      <alignment/>
    </xf>
    <xf numFmtId="0" fontId="0" fillId="0" borderId="0" xfId="15" applyNumberFormat="1" applyAlignment="1">
      <alignment/>
    </xf>
    <xf numFmtId="180" fontId="0" fillId="0" borderId="0" xfId="15" applyNumberFormat="1" applyFont="1" applyAlignment="1">
      <alignment/>
    </xf>
    <xf numFmtId="180" fontId="0" fillId="0" borderId="0" xfId="15" applyNumberFormat="1" applyFont="1" applyAlignment="1">
      <alignment/>
    </xf>
    <xf numFmtId="0" fontId="17" fillId="8" borderId="0" xfId="0" applyFont="1" applyFill="1" applyAlignment="1">
      <alignment/>
    </xf>
    <xf numFmtId="0" fontId="2" fillId="8" borderId="0" xfId="0" applyFont="1" applyFill="1" applyBorder="1" applyAlignment="1">
      <alignment horizontal="left"/>
    </xf>
    <xf numFmtId="0" fontId="13" fillId="8" borderId="0" xfId="0" applyFont="1" applyFill="1" applyAlignment="1">
      <alignment/>
    </xf>
    <xf numFmtId="37" fontId="2" fillId="8" borderId="0" xfId="0" applyNumberFormat="1" applyFont="1" applyFill="1" applyBorder="1" applyAlignment="1">
      <alignment/>
    </xf>
    <xf numFmtId="37" fontId="2" fillId="8" borderId="0" xfId="0" applyNumberFormat="1" applyFont="1" applyFill="1" applyAlignment="1">
      <alignment/>
    </xf>
    <xf numFmtId="3" fontId="2" fillId="3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/>
    </xf>
    <xf numFmtId="0" fontId="19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180" fontId="13" fillId="8" borderId="0" xfId="15" applyNumberFormat="1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180" fontId="16" fillId="9" borderId="1" xfId="20" applyNumberFormat="1" applyFont="1" applyFill="1" applyBorder="1" applyAlignment="1">
      <alignment/>
    </xf>
    <xf numFmtId="180" fontId="16" fillId="3" borderId="14" xfId="15" applyNumberFormat="1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6" fillId="3" borderId="16" xfId="0" applyFont="1" applyFill="1" applyBorder="1" applyAlignment="1">
      <alignment/>
    </xf>
    <xf numFmtId="0" fontId="16" fillId="3" borderId="17" xfId="0" applyFont="1" applyFill="1" applyBorder="1" applyAlignment="1">
      <alignment horizontal="center"/>
    </xf>
    <xf numFmtId="180" fontId="13" fillId="8" borderId="0" xfId="15" applyNumberFormat="1" applyFont="1" applyFill="1" applyAlignment="1">
      <alignment/>
    </xf>
    <xf numFmtId="37" fontId="26" fillId="10" borderId="1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7" fontId="2" fillId="8" borderId="0" xfId="0" applyNumberFormat="1" applyFont="1" applyFill="1" applyBorder="1" applyAlignment="1" quotePrefix="1">
      <alignment/>
    </xf>
    <xf numFmtId="37" fontId="28" fillId="8" borderId="0" xfId="0" applyNumberFormat="1" applyFont="1" applyFill="1" applyAlignment="1">
      <alignment/>
    </xf>
    <xf numFmtId="37" fontId="3" fillId="8" borderId="0" xfId="0" applyNumberFormat="1" applyFont="1" applyFill="1" applyAlignment="1">
      <alignment horizontal="justify" wrapText="1"/>
    </xf>
    <xf numFmtId="37" fontId="26" fillId="11" borderId="1" xfId="0" applyNumberFormat="1" applyFont="1" applyFill="1" applyBorder="1" applyAlignment="1">
      <alignment/>
    </xf>
    <xf numFmtId="37" fontId="26" fillId="8" borderId="0" xfId="0" applyNumberFormat="1" applyFont="1" applyFill="1" applyBorder="1" applyAlignment="1">
      <alignment/>
    </xf>
    <xf numFmtId="37" fontId="26" fillId="8" borderId="0" xfId="0" applyNumberFormat="1" applyFont="1" applyFill="1" applyAlignment="1">
      <alignment/>
    </xf>
    <xf numFmtId="37" fontId="30" fillId="8" borderId="0" xfId="0" applyNumberFormat="1" applyFont="1" applyFill="1" applyBorder="1" applyAlignment="1">
      <alignment/>
    </xf>
    <xf numFmtId="37" fontId="30" fillId="8" borderId="0" xfId="0" applyNumberFormat="1" applyFont="1" applyFill="1" applyAlignment="1">
      <alignment/>
    </xf>
    <xf numFmtId="37" fontId="2" fillId="12" borderId="0" xfId="0" applyNumberFormat="1" applyFont="1" applyFill="1" applyBorder="1" applyAlignment="1">
      <alignment/>
    </xf>
    <xf numFmtId="37" fontId="2" fillId="13" borderId="1" xfId="0" applyNumberFormat="1" applyFont="1" applyFill="1" applyBorder="1" applyAlignment="1">
      <alignment/>
    </xf>
    <xf numFmtId="37" fontId="2" fillId="13" borderId="0" xfId="0" applyNumberFormat="1" applyFont="1" applyFill="1" applyBorder="1" applyAlignment="1">
      <alignment/>
    </xf>
    <xf numFmtId="0" fontId="2" fillId="13" borderId="18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37" fontId="31" fillId="12" borderId="1" xfId="0" applyNumberFormat="1" applyFont="1" applyFill="1" applyBorder="1" applyAlignment="1">
      <alignment/>
    </xf>
    <xf numFmtId="37" fontId="2" fillId="12" borderId="1" xfId="0" applyNumberFormat="1" applyFont="1" applyFill="1" applyBorder="1" applyAlignment="1">
      <alignment/>
    </xf>
    <xf numFmtId="37" fontId="2" fillId="12" borderId="3" xfId="0" applyNumberFormat="1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left"/>
    </xf>
    <xf numFmtId="3" fontId="2" fillId="13" borderId="1" xfId="0" applyNumberFormat="1" applyFont="1" applyFill="1" applyBorder="1" applyAlignment="1">
      <alignment horizontal="right" vertical="top"/>
    </xf>
    <xf numFmtId="3" fontId="2" fillId="13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/>
    </xf>
    <xf numFmtId="37" fontId="2" fillId="13" borderId="12" xfId="0" applyNumberFormat="1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2" fillId="13" borderId="12" xfId="0" applyFont="1" applyFill="1" applyBorder="1" applyAlignment="1">
      <alignment horizontal="left" vertical="top"/>
    </xf>
    <xf numFmtId="3" fontId="2" fillId="8" borderId="0" xfId="0" applyNumberFormat="1" applyFont="1" applyFill="1" applyAlignment="1">
      <alignment horizontal="left"/>
    </xf>
    <xf numFmtId="3" fontId="2" fillId="13" borderId="1" xfId="0" applyNumberFormat="1" applyFont="1" applyFill="1" applyBorder="1" applyAlignment="1">
      <alignment horizontal="left" vertical="top"/>
    </xf>
    <xf numFmtId="3" fontId="2" fillId="13" borderId="1" xfId="0" applyNumberFormat="1" applyFont="1" applyFill="1" applyBorder="1" applyAlignment="1">
      <alignment horizontal="left"/>
    </xf>
    <xf numFmtId="37" fontId="2" fillId="13" borderId="1" xfId="0" applyNumberFormat="1" applyFont="1" applyFill="1" applyBorder="1" applyAlignment="1">
      <alignment horizontal="left"/>
    </xf>
    <xf numFmtId="0" fontId="25" fillId="9" borderId="0" xfId="0" applyFont="1" applyFill="1" applyAlignment="1">
      <alignment horizontal="left"/>
    </xf>
    <xf numFmtId="0" fontId="32" fillId="8" borderId="0" xfId="0" applyFont="1" applyFill="1" applyAlignment="1">
      <alignment horizontal="left"/>
    </xf>
    <xf numFmtId="37" fontId="2" fillId="8" borderId="0" xfId="0" applyNumberFormat="1" applyFont="1" applyFill="1" applyAlignment="1">
      <alignment horizontal="left"/>
    </xf>
    <xf numFmtId="0" fontId="32" fillId="8" borderId="6" xfId="0" applyFont="1" applyFill="1" applyBorder="1" applyAlignment="1">
      <alignment horizontal="left"/>
    </xf>
    <xf numFmtId="37" fontId="2" fillId="3" borderId="1" xfId="0" applyNumberFormat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3" fontId="26" fillId="11" borderId="1" xfId="0" applyNumberFormat="1" applyFont="1" applyFill="1" applyBorder="1" applyAlignment="1">
      <alignment horizontal="center" vertical="top"/>
    </xf>
    <xf numFmtId="3" fontId="26" fillId="11" borderId="1" xfId="0" applyNumberFormat="1" applyFont="1" applyFill="1" applyBorder="1" applyAlignment="1">
      <alignment horizontal="center"/>
    </xf>
    <xf numFmtId="3" fontId="2" fillId="8" borderId="0" xfId="0" applyNumberFormat="1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80" fontId="13" fillId="13" borderId="1" xfId="15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right"/>
    </xf>
    <xf numFmtId="180" fontId="16" fillId="13" borderId="1" xfId="15" applyNumberFormat="1" applyFont="1" applyFill="1" applyBorder="1" applyAlignment="1">
      <alignment/>
    </xf>
    <xf numFmtId="0" fontId="13" fillId="13" borderId="1" xfId="0" applyFont="1" applyFill="1" applyBorder="1" applyAlignment="1">
      <alignment/>
    </xf>
    <xf numFmtId="180" fontId="13" fillId="13" borderId="1" xfId="15" applyNumberFormat="1" applyFont="1" applyFill="1" applyBorder="1" applyAlignment="1">
      <alignment/>
    </xf>
    <xf numFmtId="0" fontId="19" fillId="13" borderId="1" xfId="0" applyFont="1" applyFill="1" applyBorder="1" applyAlignment="1">
      <alignment/>
    </xf>
    <xf numFmtId="0" fontId="13" fillId="13" borderId="1" xfId="0" applyFont="1" applyFill="1" applyBorder="1" applyAlignment="1">
      <alignment horizontal="center"/>
    </xf>
    <xf numFmtId="180" fontId="16" fillId="13" borderId="1" xfId="20" applyNumberFormat="1" applyFont="1" applyFill="1" applyBorder="1" applyAlignment="1">
      <alignment/>
    </xf>
    <xf numFmtId="180" fontId="16" fillId="13" borderId="1" xfId="15" applyNumberFormat="1" applyFont="1" applyFill="1" applyBorder="1" applyAlignment="1">
      <alignment horizontal="left"/>
    </xf>
    <xf numFmtId="0" fontId="23" fillId="13" borderId="5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18" fillId="13" borderId="0" xfId="0" applyFont="1" applyFill="1" applyBorder="1" applyAlignment="1">
      <alignment/>
    </xf>
    <xf numFmtId="0" fontId="17" fillId="13" borderId="7" xfId="0" applyFont="1" applyFill="1" applyBorder="1" applyAlignment="1">
      <alignment/>
    </xf>
    <xf numFmtId="0" fontId="24" fillId="13" borderId="0" xfId="0" applyFont="1" applyFill="1" applyBorder="1" applyAlignment="1">
      <alignment/>
    </xf>
    <xf numFmtId="0" fontId="17" fillId="13" borderId="0" xfId="0" applyFont="1" applyFill="1" applyBorder="1" applyAlignment="1">
      <alignment horizontal="right"/>
    </xf>
    <xf numFmtId="0" fontId="17" fillId="13" borderId="9" xfId="0" applyFont="1" applyFill="1" applyBorder="1" applyAlignment="1">
      <alignment/>
    </xf>
    <xf numFmtId="180" fontId="13" fillId="8" borderId="0" xfId="0" applyNumberFormat="1" applyFont="1" applyFill="1" applyAlignment="1">
      <alignment/>
    </xf>
    <xf numFmtId="0" fontId="13" fillId="13" borderId="0" xfId="0" applyFont="1" applyFill="1" applyAlignment="1">
      <alignment/>
    </xf>
    <xf numFmtId="180" fontId="13" fillId="13" borderId="0" xfId="15" applyNumberFormat="1" applyFont="1" applyFill="1" applyAlignment="1">
      <alignment/>
    </xf>
    <xf numFmtId="180" fontId="13" fillId="3" borderId="19" xfId="15" applyNumberFormat="1" applyFont="1" applyFill="1" applyBorder="1" applyAlignment="1">
      <alignment/>
    </xf>
    <xf numFmtId="180" fontId="16" fillId="3" borderId="20" xfId="15" applyNumberFormat="1" applyFont="1" applyFill="1" applyBorder="1" applyAlignment="1">
      <alignment/>
    </xf>
    <xf numFmtId="0" fontId="42" fillId="8" borderId="0" xfId="0" applyFont="1" applyFill="1" applyAlignment="1">
      <alignment/>
    </xf>
    <xf numFmtId="37" fontId="26" fillId="10" borderId="21" xfId="0" applyNumberFormat="1" applyFont="1" applyFill="1" applyBorder="1" applyAlignment="1">
      <alignment horizontal="center"/>
    </xf>
    <xf numFmtId="37" fontId="2" fillId="2" borderId="22" xfId="0" applyNumberFormat="1" applyFont="1" applyFill="1" applyBorder="1" applyAlignment="1">
      <alignment/>
    </xf>
    <xf numFmtId="37" fontId="2" fillId="13" borderId="22" xfId="0" applyNumberFormat="1" applyFont="1" applyFill="1" applyBorder="1" applyAlignment="1">
      <alignment/>
    </xf>
    <xf numFmtId="37" fontId="26" fillId="11" borderId="22" xfId="0" applyNumberFormat="1" applyFont="1" applyFill="1" applyBorder="1" applyAlignment="1">
      <alignment/>
    </xf>
    <xf numFmtId="37" fontId="31" fillId="12" borderId="22" xfId="0" applyNumberFormat="1" applyFont="1" applyFill="1" applyBorder="1" applyAlignment="1">
      <alignment/>
    </xf>
    <xf numFmtId="37" fontId="2" fillId="12" borderId="22" xfId="0" applyNumberFormat="1" applyFont="1" applyFill="1" applyBorder="1" applyAlignment="1">
      <alignment/>
    </xf>
    <xf numFmtId="37" fontId="2" fillId="2" borderId="22" xfId="0" applyNumberFormat="1" applyFont="1" applyFill="1" applyBorder="1" applyAlignment="1">
      <alignment horizontal="right"/>
    </xf>
    <xf numFmtId="37" fontId="2" fillId="13" borderId="22" xfId="0" applyNumberFormat="1" applyFont="1" applyFill="1" applyBorder="1" applyAlignment="1">
      <alignment horizontal="right"/>
    </xf>
    <xf numFmtId="37" fontId="2" fillId="12" borderId="22" xfId="0" applyNumberFormat="1" applyFont="1" applyFill="1" applyBorder="1" applyAlignment="1">
      <alignment horizontal="right"/>
    </xf>
    <xf numFmtId="37" fontId="2" fillId="12" borderId="23" xfId="0" applyNumberFormat="1" applyFont="1" applyFill="1" applyBorder="1" applyAlignment="1">
      <alignment horizontal="center"/>
    </xf>
    <xf numFmtId="37" fontId="30" fillId="11" borderId="24" xfId="0" applyNumberFormat="1" applyFont="1" applyFill="1" applyBorder="1" applyAlignment="1">
      <alignment/>
    </xf>
    <xf numFmtId="37" fontId="30" fillId="11" borderId="25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4" fillId="8" borderId="0" xfId="0" applyFont="1" applyFill="1" applyAlignment="1">
      <alignment horizontal="center"/>
    </xf>
    <xf numFmtId="0" fontId="3" fillId="9" borderId="4" xfId="0" applyFont="1" applyFill="1" applyBorder="1" applyAlignment="1">
      <alignment horizontal="center"/>
    </xf>
    <xf numFmtId="40" fontId="3" fillId="9" borderId="1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7" fontId="3" fillId="9" borderId="1" xfId="0" applyNumberFormat="1" applyFont="1" applyFill="1" applyBorder="1" applyAlignment="1">
      <alignment horizontal="center"/>
    </xf>
    <xf numFmtId="16" fontId="3" fillId="9" borderId="1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0" fontId="44" fillId="8" borderId="0" xfId="0" applyFont="1" applyFill="1" applyAlignment="1">
      <alignment horizontal="left"/>
    </xf>
    <xf numFmtId="0" fontId="0" fillId="3" borderId="8" xfId="0" applyFont="1" applyFill="1" applyBorder="1" applyAlignment="1">
      <alignment horizontal="left" wrapText="1"/>
    </xf>
    <xf numFmtId="0" fontId="43" fillId="13" borderId="0" xfId="0" applyFont="1" applyFill="1" applyBorder="1" applyAlignment="1">
      <alignment/>
    </xf>
    <xf numFmtId="37" fontId="2" fillId="8" borderId="0" xfId="0" applyNumberFormat="1" applyFont="1" applyFill="1" applyAlignment="1">
      <alignment wrapText="1"/>
    </xf>
    <xf numFmtId="37" fontId="3" fillId="8" borderId="0" xfId="0" applyNumberFormat="1" applyFont="1" applyFill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8" borderId="2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 wrapText="1"/>
    </xf>
    <xf numFmtId="43" fontId="17" fillId="13" borderId="0" xfId="15" applyFont="1" applyFill="1" applyBorder="1" applyAlignment="1">
      <alignment/>
    </xf>
    <xf numFmtId="43" fontId="17" fillId="13" borderId="7" xfId="15" applyFont="1" applyFill="1" applyBorder="1" applyAlignment="1">
      <alignment/>
    </xf>
    <xf numFmtId="43" fontId="24" fillId="13" borderId="7" xfId="15" applyFont="1" applyFill="1" applyBorder="1" applyAlignment="1">
      <alignment horizontal="left"/>
    </xf>
    <xf numFmtId="43" fontId="24" fillId="13" borderId="0" xfId="15" applyFont="1" applyFill="1" applyBorder="1" applyAlignment="1">
      <alignment horizontal="left"/>
    </xf>
    <xf numFmtId="43" fontId="14" fillId="13" borderId="7" xfId="15" applyFont="1" applyFill="1" applyBorder="1" applyAlignment="1">
      <alignment/>
    </xf>
    <xf numFmtId="43" fontId="17" fillId="8" borderId="0" xfId="15" applyFont="1" applyFill="1" applyAlignment="1">
      <alignment/>
    </xf>
    <xf numFmtId="43" fontId="37" fillId="10" borderId="10" xfId="15" applyFont="1" applyFill="1" applyBorder="1" applyAlignment="1">
      <alignment horizontal="center"/>
    </xf>
    <xf numFmtId="43" fontId="37" fillId="10" borderId="2" xfId="15" applyFont="1" applyFill="1" applyBorder="1" applyAlignment="1">
      <alignment horizontal="center"/>
    </xf>
    <xf numFmtId="43" fontId="37" fillId="10" borderId="9" xfId="15" applyFont="1" applyFill="1" applyBorder="1" applyAlignment="1">
      <alignment horizontal="center"/>
    </xf>
    <xf numFmtId="43" fontId="37" fillId="10" borderId="3" xfId="15" applyFont="1" applyFill="1" applyBorder="1" applyAlignment="1">
      <alignment horizontal="center"/>
    </xf>
    <xf numFmtId="43" fontId="17" fillId="8" borderId="0" xfId="15" applyFont="1" applyFill="1" applyBorder="1" applyAlignment="1">
      <alignment/>
    </xf>
    <xf numFmtId="43" fontId="17" fillId="13" borderId="2" xfId="15" applyFont="1" applyFill="1" applyBorder="1" applyAlignment="1">
      <alignment/>
    </xf>
    <xf numFmtId="43" fontId="23" fillId="13" borderId="5" xfId="15" applyFont="1" applyFill="1" applyBorder="1" applyAlignment="1">
      <alignment/>
    </xf>
    <xf numFmtId="43" fontId="17" fillId="13" borderId="10" xfId="15" applyFont="1" applyFill="1" applyBorder="1" applyAlignment="1">
      <alignment/>
    </xf>
    <xf numFmtId="43" fontId="13" fillId="8" borderId="0" xfId="15" applyFont="1" applyFill="1" applyAlignment="1">
      <alignment/>
    </xf>
    <xf numFmtId="43" fontId="0" fillId="8" borderId="0" xfId="15" applyFill="1" applyBorder="1" applyAlignment="1">
      <alignment/>
    </xf>
    <xf numFmtId="43" fontId="0" fillId="8" borderId="0" xfId="15" applyFill="1" applyBorder="1" applyAlignment="1">
      <alignment horizontal="center"/>
    </xf>
    <xf numFmtId="43" fontId="18" fillId="13" borderId="13" xfId="15" applyFont="1" applyFill="1" applyBorder="1" applyAlignment="1">
      <alignment horizontal="right"/>
    </xf>
    <xf numFmtId="43" fontId="18" fillId="13" borderId="0" xfId="15" applyFont="1" applyFill="1" applyBorder="1" applyAlignment="1">
      <alignment/>
    </xf>
    <xf numFmtId="43" fontId="21" fillId="13" borderId="1" xfId="15" applyFont="1" applyFill="1" applyBorder="1" applyAlignment="1">
      <alignment/>
    </xf>
    <xf numFmtId="43" fontId="20" fillId="13" borderId="0" xfId="15" applyFont="1" applyFill="1" applyBorder="1" applyAlignment="1">
      <alignment/>
    </xf>
    <xf numFmtId="43" fontId="17" fillId="13" borderId="13" xfId="15" applyFont="1" applyFill="1" applyBorder="1" applyAlignment="1">
      <alignment/>
    </xf>
    <xf numFmtId="43" fontId="23" fillId="13" borderId="7" xfId="15" applyFont="1" applyFill="1" applyBorder="1" applyAlignment="1">
      <alignment/>
    </xf>
    <xf numFmtId="43" fontId="3" fillId="8" borderId="0" xfId="15" applyFont="1" applyFill="1" applyBorder="1" applyAlignment="1">
      <alignment/>
    </xf>
    <xf numFmtId="43" fontId="24" fillId="13" borderId="0" xfId="15" applyFont="1" applyFill="1" applyBorder="1" applyAlignment="1">
      <alignment/>
    </xf>
    <xf numFmtId="43" fontId="21" fillId="13" borderId="13" xfId="15" applyFont="1" applyFill="1" applyBorder="1" applyAlignment="1">
      <alignment/>
    </xf>
    <xf numFmtId="43" fontId="20" fillId="13" borderId="7" xfId="15" applyFont="1" applyFill="1" applyBorder="1" applyAlignment="1">
      <alignment/>
    </xf>
    <xf numFmtId="43" fontId="0" fillId="8" borderId="0" xfId="15" applyFill="1" applyAlignment="1">
      <alignment/>
    </xf>
    <xf numFmtId="43" fontId="22" fillId="13" borderId="0" xfId="15" applyFont="1" applyFill="1" applyBorder="1" applyAlignment="1">
      <alignment/>
    </xf>
    <xf numFmtId="43" fontId="17" fillId="13" borderId="0" xfId="15" applyFont="1" applyFill="1" applyAlignment="1">
      <alignment/>
    </xf>
    <xf numFmtId="43" fontId="17" fillId="13" borderId="0" xfId="15" applyFont="1" applyFill="1" applyBorder="1" applyAlignment="1">
      <alignment/>
    </xf>
    <xf numFmtId="43" fontId="14" fillId="13" borderId="7" xfId="15" applyFont="1" applyFill="1" applyBorder="1" applyAlignment="1">
      <alignment/>
    </xf>
    <xf numFmtId="43" fontId="17" fillId="13" borderId="0" xfId="15" applyFont="1" applyFill="1" applyBorder="1" applyAlignment="1">
      <alignment horizontal="right"/>
    </xf>
    <xf numFmtId="43" fontId="17" fillId="13" borderId="9" xfId="15" applyFont="1" applyFill="1" applyBorder="1" applyAlignment="1">
      <alignment/>
    </xf>
    <xf numFmtId="43" fontId="38" fillId="10" borderId="1" xfId="15" applyFont="1" applyFill="1" applyBorder="1" applyAlignment="1">
      <alignment/>
    </xf>
    <xf numFmtId="43" fontId="16" fillId="8" borderId="0" xfId="15" applyFont="1" applyFill="1" applyAlignment="1">
      <alignment/>
    </xf>
    <xf numFmtId="43" fontId="16" fillId="8" borderId="0" xfId="15" applyFont="1" applyFill="1" applyBorder="1" applyAlignment="1">
      <alignment/>
    </xf>
    <xf numFmtId="0" fontId="46" fillId="8" borderId="0" xfId="0" applyFont="1" applyFill="1" applyAlignment="1">
      <alignment horizontal="right"/>
    </xf>
    <xf numFmtId="0" fontId="27" fillId="8" borderId="0" xfId="0" applyFont="1" applyFill="1" applyAlignment="1">
      <alignment/>
    </xf>
    <xf numFmtId="43" fontId="47" fillId="8" borderId="0" xfId="15" applyFont="1" applyFill="1" applyAlignment="1">
      <alignment/>
    </xf>
    <xf numFmtId="43" fontId="48" fillId="8" borderId="0" xfId="15" applyFont="1" applyFill="1" applyBorder="1" applyAlignment="1">
      <alignment/>
    </xf>
    <xf numFmtId="37" fontId="26" fillId="10" borderId="26" xfId="0" applyNumberFormat="1" applyFont="1" applyFill="1" applyBorder="1" applyAlignment="1">
      <alignment horizontal="center"/>
    </xf>
    <xf numFmtId="0" fontId="27" fillId="8" borderId="0" xfId="0" applyFont="1" applyFill="1" applyBorder="1" applyAlignment="1">
      <alignment/>
    </xf>
    <xf numFmtId="208" fontId="2" fillId="8" borderId="0" xfId="0" applyNumberFormat="1" applyFont="1" applyFill="1" applyAlignment="1">
      <alignment horizontal="left"/>
    </xf>
    <xf numFmtId="0" fontId="3" fillId="9" borderId="10" xfId="0" applyFont="1" applyFill="1" applyBorder="1" applyAlignment="1">
      <alignment horizontal="center"/>
    </xf>
    <xf numFmtId="188" fontId="2" fillId="8" borderId="0" xfId="0" applyNumberFormat="1" applyFont="1" applyFill="1" applyAlignment="1">
      <alignment horizontal="right"/>
    </xf>
    <xf numFmtId="37" fontId="2" fillId="8" borderId="0" xfId="0" applyNumberFormat="1" applyFont="1" applyFill="1" applyAlignment="1">
      <alignment horizontal="right"/>
    </xf>
    <xf numFmtId="37" fontId="2" fillId="2" borderId="21" xfId="0" applyNumberFormat="1" applyFont="1" applyFill="1" applyBorder="1" applyAlignment="1">
      <alignment/>
    </xf>
    <xf numFmtId="37" fontId="2" fillId="12" borderId="21" xfId="0" applyNumberFormat="1" applyFont="1" applyFill="1" applyBorder="1" applyAlignment="1">
      <alignment/>
    </xf>
    <xf numFmtId="37" fontId="2" fillId="12" borderId="21" xfId="0" applyNumberFormat="1" applyFont="1" applyFill="1" applyBorder="1" applyAlignment="1">
      <alignment horizontal="right"/>
    </xf>
    <xf numFmtId="37" fontId="26" fillId="11" borderId="21" xfId="0" applyNumberFormat="1" applyFont="1" applyFill="1" applyBorder="1" applyAlignment="1">
      <alignment/>
    </xf>
    <xf numFmtId="37" fontId="31" fillId="12" borderId="21" xfId="0" applyNumberFormat="1" applyFont="1" applyFill="1" applyBorder="1" applyAlignment="1">
      <alignment/>
    </xf>
    <xf numFmtId="37" fontId="3" fillId="12" borderId="3" xfId="0" applyNumberFormat="1" applyFont="1" applyFill="1" applyBorder="1" applyAlignment="1">
      <alignment horizontal="right" wrapText="1"/>
    </xf>
    <xf numFmtId="37" fontId="2" fillId="12" borderId="3" xfId="0" applyNumberFormat="1" applyFont="1" applyFill="1" applyBorder="1" applyAlignment="1">
      <alignment horizontal="right"/>
    </xf>
    <xf numFmtId="37" fontId="2" fillId="12" borderId="27" xfId="0" applyNumberFormat="1" applyFont="1" applyFill="1" applyBorder="1" applyAlignment="1">
      <alignment horizontal="right"/>
    </xf>
    <xf numFmtId="37" fontId="30" fillId="11" borderId="28" xfId="0" applyNumberFormat="1" applyFont="1" applyFill="1" applyBorder="1" applyAlignment="1">
      <alignment/>
    </xf>
    <xf numFmtId="180" fontId="17" fillId="13" borderId="10" xfId="15" applyNumberFormat="1" applyFont="1" applyFill="1" applyBorder="1" applyAlignment="1">
      <alignment/>
    </xf>
    <xf numFmtId="180" fontId="20" fillId="3" borderId="13" xfId="15" applyNumberFormat="1" applyFont="1" applyFill="1" applyBorder="1" applyAlignment="1">
      <alignment/>
    </xf>
    <xf numFmtId="180" fontId="17" fillId="13" borderId="7" xfId="15" applyNumberFormat="1" applyFont="1" applyFill="1" applyBorder="1" applyAlignment="1">
      <alignment/>
    </xf>
    <xf numFmtId="180" fontId="13" fillId="13" borderId="13" xfId="15" applyNumberFormat="1" applyFont="1" applyFill="1" applyBorder="1" applyAlignment="1">
      <alignment/>
    </xf>
    <xf numFmtId="180" fontId="17" fillId="13" borderId="0" xfId="15" applyNumberFormat="1" applyFont="1" applyFill="1" applyBorder="1" applyAlignment="1">
      <alignment/>
    </xf>
    <xf numFmtId="180" fontId="20" fillId="12" borderId="13" xfId="15" applyNumberFormat="1" applyFont="1" applyFill="1" applyBorder="1" applyAlignment="1">
      <alignment/>
    </xf>
    <xf numFmtId="180" fontId="20" fillId="3" borderId="29" xfId="15" applyNumberFormat="1" applyFont="1" applyFill="1" applyBorder="1" applyAlignment="1">
      <alignment/>
    </xf>
    <xf numFmtId="180" fontId="20" fillId="6" borderId="30" xfId="15" applyNumberFormat="1" applyFont="1" applyFill="1" applyBorder="1" applyAlignment="1">
      <alignment/>
    </xf>
    <xf numFmtId="180" fontId="20" fillId="13" borderId="31" xfId="15" applyNumberFormat="1" applyFont="1" applyFill="1" applyBorder="1" applyAlignment="1">
      <alignment/>
    </xf>
    <xf numFmtId="180" fontId="20" fillId="6" borderId="1" xfId="15" applyNumberFormat="1" applyFont="1" applyFill="1" applyBorder="1" applyAlignment="1">
      <alignment horizontal="left"/>
    </xf>
    <xf numFmtId="180" fontId="17" fillId="13" borderId="13" xfId="15" applyNumberFormat="1" applyFont="1" applyFill="1" applyBorder="1" applyAlignment="1">
      <alignment/>
    </xf>
    <xf numFmtId="180" fontId="14" fillId="13" borderId="13" xfId="15" applyNumberFormat="1" applyFont="1" applyFill="1" applyBorder="1" applyAlignment="1">
      <alignment/>
    </xf>
    <xf numFmtId="180" fontId="14" fillId="13" borderId="0" xfId="15" applyNumberFormat="1" applyFont="1" applyFill="1" applyBorder="1" applyAlignment="1">
      <alignment/>
    </xf>
    <xf numFmtId="180" fontId="14" fillId="13" borderId="0" xfId="15" applyNumberFormat="1" applyFont="1" applyFill="1" applyAlignment="1">
      <alignment/>
    </xf>
    <xf numFmtId="180" fontId="20" fillId="7" borderId="12" xfId="15" applyNumberFormat="1" applyFont="1" applyFill="1" applyBorder="1" applyAlignment="1">
      <alignment horizontal="left"/>
    </xf>
    <xf numFmtId="180" fontId="20" fillId="7" borderId="30" xfId="15" applyNumberFormat="1" applyFont="1" applyFill="1" applyBorder="1" applyAlignment="1">
      <alignment/>
    </xf>
    <xf numFmtId="180" fontId="20" fillId="13" borderId="0" xfId="15" applyNumberFormat="1" applyFont="1" applyFill="1" applyBorder="1" applyAlignment="1">
      <alignment horizontal="left"/>
    </xf>
    <xf numFmtId="180" fontId="16" fillId="9" borderId="1" xfId="15" applyNumberFormat="1" applyFont="1" applyFill="1" applyBorder="1" applyAlignment="1">
      <alignment/>
    </xf>
    <xf numFmtId="180" fontId="14" fillId="13" borderId="7" xfId="15" applyNumberFormat="1" applyFont="1" applyFill="1" applyBorder="1" applyAlignment="1">
      <alignment/>
    </xf>
    <xf numFmtId="180" fontId="20" fillId="7" borderId="1" xfId="15" applyNumberFormat="1" applyFont="1" applyFill="1" applyBorder="1" applyAlignment="1">
      <alignment/>
    </xf>
    <xf numFmtId="180" fontId="38" fillId="10" borderId="1" xfId="15" applyNumberFormat="1" applyFont="1" applyFill="1" applyBorder="1" applyAlignment="1">
      <alignment/>
    </xf>
    <xf numFmtId="180" fontId="45" fillId="10" borderId="32" xfId="15" applyNumberFormat="1" applyFont="1" applyFill="1" applyBorder="1" applyAlignment="1">
      <alignment/>
    </xf>
    <xf numFmtId="180" fontId="17" fillId="8" borderId="0" xfId="15" applyNumberFormat="1" applyFont="1" applyFill="1" applyAlignment="1">
      <alignment/>
    </xf>
    <xf numFmtId="180" fontId="20" fillId="3" borderId="30" xfId="15" applyNumberFormat="1" applyFont="1" applyFill="1" applyBorder="1" applyAlignment="1">
      <alignment/>
    </xf>
    <xf numFmtId="180" fontId="20" fillId="8" borderId="0" xfId="15" applyNumberFormat="1" applyFont="1" applyFill="1" applyAlignment="1">
      <alignment/>
    </xf>
    <xf numFmtId="180" fontId="20" fillId="12" borderId="32" xfId="15" applyNumberFormat="1" applyFont="1" applyFill="1" applyBorder="1" applyAlignment="1">
      <alignment/>
    </xf>
    <xf numFmtId="0" fontId="32" fillId="13" borderId="22" xfId="0" applyFont="1" applyFill="1" applyBorder="1" applyAlignment="1">
      <alignment horizontal="left" vertical="top"/>
    </xf>
    <xf numFmtId="0" fontId="32" fillId="2" borderId="22" xfId="0" applyFont="1" applyFill="1" applyBorder="1" applyAlignment="1">
      <alignment horizontal="left" vertical="top"/>
    </xf>
    <xf numFmtId="3" fontId="2" fillId="2" borderId="21" xfId="0" applyNumberFormat="1" applyFont="1" applyFill="1" applyBorder="1" applyAlignment="1">
      <alignment horizontal="right"/>
    </xf>
    <xf numFmtId="0" fontId="32" fillId="13" borderId="22" xfId="0" applyFont="1" applyFill="1" applyBorder="1" applyAlignment="1">
      <alignment horizontal="left"/>
    </xf>
    <xf numFmtId="0" fontId="32" fillId="2" borderId="22" xfId="0" applyFont="1" applyFill="1" applyBorder="1" applyAlignment="1">
      <alignment horizontal="left"/>
    </xf>
    <xf numFmtId="0" fontId="32" fillId="13" borderId="24" xfId="0" applyFont="1" applyFill="1" applyBorder="1" applyAlignment="1">
      <alignment horizontal="left"/>
    </xf>
    <xf numFmtId="37" fontId="2" fillId="13" borderId="33" xfId="0" applyNumberFormat="1" applyFont="1" applyFill="1" applyBorder="1" applyAlignment="1">
      <alignment horizontal="left"/>
    </xf>
    <xf numFmtId="3" fontId="2" fillId="3" borderId="25" xfId="0" applyNumberFormat="1" applyFont="1" applyFill="1" applyBorder="1" applyAlignment="1">
      <alignment horizontal="right"/>
    </xf>
    <xf numFmtId="3" fontId="2" fillId="13" borderId="25" xfId="0" applyNumberFormat="1" applyFont="1" applyFill="1" applyBorder="1" applyAlignment="1">
      <alignment horizontal="right"/>
    </xf>
    <xf numFmtId="0" fontId="32" fillId="13" borderId="34" xfId="0" applyFont="1" applyFill="1" applyBorder="1" applyAlignment="1">
      <alignment horizontal="left"/>
    </xf>
    <xf numFmtId="0" fontId="2" fillId="13" borderId="35" xfId="0" applyFont="1" applyFill="1" applyBorder="1" applyAlignment="1">
      <alignment horizontal="left"/>
    </xf>
    <xf numFmtId="3" fontId="2" fillId="3" borderId="36" xfId="0" applyNumberFormat="1" applyFont="1" applyFill="1" applyBorder="1" applyAlignment="1">
      <alignment horizontal="right"/>
    </xf>
    <xf numFmtId="3" fontId="2" fillId="13" borderId="36" xfId="0" applyNumberFormat="1" applyFont="1" applyFill="1" applyBorder="1" applyAlignment="1">
      <alignment horizontal="right"/>
    </xf>
    <xf numFmtId="3" fontId="2" fillId="13" borderId="37" xfId="0" applyNumberFormat="1" applyFont="1" applyFill="1" applyBorder="1" applyAlignment="1">
      <alignment horizontal="right"/>
    </xf>
    <xf numFmtId="3" fontId="2" fillId="13" borderId="21" xfId="0" applyNumberFormat="1" applyFont="1" applyFill="1" applyBorder="1" applyAlignment="1">
      <alignment horizontal="right"/>
    </xf>
    <xf numFmtId="0" fontId="34" fillId="11" borderId="24" xfId="0" applyFont="1" applyFill="1" applyBorder="1" applyAlignment="1">
      <alignment horizontal="left"/>
    </xf>
    <xf numFmtId="0" fontId="26" fillId="11" borderId="33" xfId="0" applyFont="1" applyFill="1" applyBorder="1" applyAlignment="1">
      <alignment horizontal="left"/>
    </xf>
    <xf numFmtId="37" fontId="26" fillId="11" borderId="25" xfId="0" applyNumberFormat="1" applyFont="1" applyFill="1" applyBorder="1" applyAlignment="1">
      <alignment horizontal="right"/>
    </xf>
    <xf numFmtId="37" fontId="26" fillId="11" borderId="28" xfId="0" applyNumberFormat="1" applyFont="1" applyFill="1" applyBorder="1" applyAlignment="1">
      <alignment horizontal="right"/>
    </xf>
    <xf numFmtId="196" fontId="2" fillId="8" borderId="0" xfId="0" applyNumberFormat="1" applyFont="1" applyFill="1" applyAlignment="1">
      <alignment horizontal="left"/>
    </xf>
    <xf numFmtId="0" fontId="2" fillId="13" borderId="4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7" fontId="50" fillId="8" borderId="0" xfId="0" applyNumberFormat="1" applyFont="1" applyFill="1" applyBorder="1" applyAlignment="1">
      <alignment/>
    </xf>
    <xf numFmtId="0" fontId="51" fillId="8" borderId="0" xfId="0" applyFont="1" applyFill="1" applyAlignment="1">
      <alignment/>
    </xf>
    <xf numFmtId="180" fontId="51" fillId="8" borderId="0" xfId="0" applyNumberFormat="1" applyFont="1" applyFill="1" applyAlignment="1">
      <alignment/>
    </xf>
    <xf numFmtId="43" fontId="51" fillId="8" borderId="0" xfId="0" applyNumberFormat="1" applyFont="1" applyFill="1" applyAlignment="1">
      <alignment/>
    </xf>
    <xf numFmtId="3" fontId="55" fillId="8" borderId="0" xfId="0" applyNumberFormat="1" applyFont="1" applyFill="1" applyAlignment="1" applyProtection="1">
      <alignment/>
      <protection/>
    </xf>
    <xf numFmtId="3" fontId="55" fillId="3" borderId="19" xfId="0" applyNumberFormat="1" applyFont="1" applyFill="1" applyBorder="1" applyAlignment="1" applyProtection="1">
      <alignment/>
      <protection/>
    </xf>
    <xf numFmtId="3" fontId="55" fillId="3" borderId="16" xfId="0" applyNumberFormat="1" applyFont="1" applyFill="1" applyBorder="1" applyAlignment="1" applyProtection="1">
      <alignment/>
      <protection/>
    </xf>
    <xf numFmtId="3" fontId="55" fillId="3" borderId="20" xfId="0" applyNumberFormat="1" applyFont="1" applyFill="1" applyBorder="1" applyAlignment="1" applyProtection="1">
      <alignment/>
      <protection/>
    </xf>
    <xf numFmtId="3" fontId="55" fillId="3" borderId="0" xfId="0" applyNumberFormat="1" applyFont="1" applyFill="1" applyBorder="1" applyAlignment="1" applyProtection="1">
      <alignment/>
      <protection/>
    </xf>
    <xf numFmtId="3" fontId="56" fillId="3" borderId="0" xfId="0" applyNumberFormat="1" applyFont="1" applyFill="1" applyBorder="1" applyAlignment="1" applyProtection="1">
      <alignment horizontal="left"/>
      <protection locked="0"/>
    </xf>
    <xf numFmtId="3" fontId="55" fillId="3" borderId="0" xfId="0" applyNumberFormat="1" applyFont="1" applyFill="1" applyBorder="1" applyAlignment="1" applyProtection="1">
      <alignment horizontal="centerContinuous"/>
      <protection/>
    </xf>
    <xf numFmtId="3" fontId="57" fillId="3" borderId="0" xfId="0" applyNumberFormat="1" applyFont="1" applyFill="1" applyBorder="1" applyAlignment="1" applyProtection="1">
      <alignment horizontal="left"/>
      <protection/>
    </xf>
    <xf numFmtId="3" fontId="59" fillId="3" borderId="0" xfId="0" applyNumberFormat="1" applyFont="1" applyFill="1" applyBorder="1" applyAlignment="1" applyProtection="1">
      <alignment/>
      <protection/>
    </xf>
    <xf numFmtId="3" fontId="60" fillId="3" borderId="0" xfId="0" applyNumberFormat="1" applyFont="1" applyFill="1" applyBorder="1" applyAlignment="1" applyProtection="1">
      <alignment/>
      <protection/>
    </xf>
    <xf numFmtId="3" fontId="61" fillId="3" borderId="38" xfId="0" applyNumberFormat="1" applyFont="1" applyFill="1" applyBorder="1" applyAlignment="1" applyProtection="1">
      <alignment/>
      <protection locked="0"/>
    </xf>
    <xf numFmtId="3" fontId="62" fillId="3" borderId="0" xfId="0" applyNumberFormat="1" applyFont="1" applyFill="1" applyBorder="1" applyAlignment="1" applyProtection="1">
      <alignment/>
      <protection/>
    </xf>
    <xf numFmtId="3" fontId="62" fillId="14" borderId="38" xfId="0" applyNumberFormat="1" applyFont="1" applyFill="1" applyBorder="1" applyAlignment="1" applyProtection="1">
      <alignment/>
      <protection/>
    </xf>
    <xf numFmtId="3" fontId="62" fillId="14" borderId="1" xfId="0" applyNumberFormat="1" applyFont="1" applyFill="1" applyBorder="1" applyAlignment="1" applyProtection="1">
      <alignment/>
      <protection/>
    </xf>
    <xf numFmtId="3" fontId="55" fillId="3" borderId="0" xfId="0" applyNumberFormat="1" applyFont="1" applyFill="1" applyBorder="1" applyAlignment="1" applyProtection="1">
      <alignment/>
      <protection locked="0"/>
    </xf>
    <xf numFmtId="3" fontId="55" fillId="3" borderId="38" xfId="0" applyNumberFormat="1" applyFont="1" applyFill="1" applyBorder="1" applyAlignment="1" applyProtection="1">
      <alignment/>
      <protection/>
    </xf>
    <xf numFmtId="3" fontId="55" fillId="3" borderId="39" xfId="0" applyNumberFormat="1" applyFont="1" applyFill="1" applyBorder="1" applyAlignment="1" applyProtection="1">
      <alignment/>
      <protection/>
    </xf>
    <xf numFmtId="3" fontId="55" fillId="3" borderId="17" xfId="0" applyNumberFormat="1" applyFont="1" applyFill="1" applyBorder="1" applyAlignment="1" applyProtection="1">
      <alignment/>
      <protection/>
    </xf>
    <xf numFmtId="3" fontId="55" fillId="3" borderId="40" xfId="0" applyNumberFormat="1" applyFont="1" applyFill="1" applyBorder="1" applyAlignment="1" applyProtection="1">
      <alignment/>
      <protection/>
    </xf>
    <xf numFmtId="3" fontId="63" fillId="3" borderId="40" xfId="0" applyNumberFormat="1" applyFont="1" applyFill="1" applyBorder="1" applyAlignment="1" applyProtection="1">
      <alignment/>
      <protection/>
    </xf>
    <xf numFmtId="3" fontId="55" fillId="3" borderId="41" xfId="0" applyNumberFormat="1" applyFont="1" applyFill="1" applyBorder="1" applyAlignment="1" applyProtection="1">
      <alignment/>
      <protection/>
    </xf>
    <xf numFmtId="37" fontId="2" fillId="2" borderId="1" xfId="0" applyNumberFormat="1" applyFont="1" applyFill="1" applyBorder="1" applyAlignment="1">
      <alignment/>
    </xf>
    <xf numFmtId="3" fontId="61" fillId="14" borderId="38" xfId="0" applyNumberFormat="1" applyFont="1" applyFill="1" applyBorder="1" applyAlignment="1" applyProtection="1">
      <alignment/>
      <protection/>
    </xf>
    <xf numFmtId="3" fontId="61" fillId="3" borderId="39" xfId="0" applyNumberFormat="1" applyFont="1" applyFill="1" applyBorder="1" applyAlignment="1" applyProtection="1">
      <alignment/>
      <protection locked="0"/>
    </xf>
    <xf numFmtId="38" fontId="61" fillId="3" borderId="38" xfId="0" applyNumberFormat="1" applyFont="1" applyFill="1" applyBorder="1" applyAlignment="1" applyProtection="1">
      <alignment/>
      <protection locked="0"/>
    </xf>
    <xf numFmtId="0" fontId="17" fillId="13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right"/>
    </xf>
    <xf numFmtId="2" fontId="17" fillId="13" borderId="1" xfId="0" applyNumberFormat="1" applyFont="1" applyFill="1" applyBorder="1" applyAlignment="1">
      <alignment horizontal="right"/>
    </xf>
    <xf numFmtId="185" fontId="17" fillId="13" borderId="1" xfId="0" applyNumberFormat="1" applyFont="1" applyFill="1" applyBorder="1" applyAlignment="1">
      <alignment horizontal="right"/>
    </xf>
    <xf numFmtId="1" fontId="17" fillId="13" borderId="1" xfId="0" applyNumberFormat="1" applyFont="1" applyFill="1" applyBorder="1" applyAlignment="1">
      <alignment horizontal="right"/>
    </xf>
    <xf numFmtId="180" fontId="13" fillId="6" borderId="30" xfId="15" applyNumberFormat="1" applyFont="1" applyFill="1" applyBorder="1" applyAlignment="1">
      <alignment/>
    </xf>
    <xf numFmtId="180" fontId="16" fillId="6" borderId="30" xfId="15" applyNumberFormat="1" applyFont="1" applyFill="1" applyBorder="1" applyAlignment="1">
      <alignment/>
    </xf>
    <xf numFmtId="0" fontId="43" fillId="13" borderId="5" xfId="0" applyFont="1" applyFill="1" applyBorder="1" applyAlignment="1">
      <alignment/>
    </xf>
    <xf numFmtId="180" fontId="16" fillId="7" borderId="30" xfId="15" applyNumberFormat="1" applyFont="1" applyFill="1" applyBorder="1" applyAlignment="1">
      <alignment/>
    </xf>
    <xf numFmtId="180" fontId="13" fillId="7" borderId="30" xfId="15" applyNumberFormat="1" applyFont="1" applyFill="1" applyBorder="1" applyAlignment="1">
      <alignment/>
    </xf>
    <xf numFmtId="0" fontId="17" fillId="13" borderId="42" xfId="0" applyFont="1" applyFill="1" applyBorder="1" applyAlignment="1">
      <alignment/>
    </xf>
    <xf numFmtId="180" fontId="16" fillId="3" borderId="43" xfId="15" applyNumberFormat="1" applyFont="1" applyFill="1" applyBorder="1" applyAlignment="1">
      <alignment/>
    </xf>
    <xf numFmtId="0" fontId="17" fillId="13" borderId="44" xfId="0" applyFont="1" applyFill="1" applyBorder="1" applyAlignment="1">
      <alignment/>
    </xf>
    <xf numFmtId="0" fontId="21" fillId="13" borderId="44" xfId="0" applyFont="1" applyFill="1" applyBorder="1" applyAlignment="1">
      <alignment/>
    </xf>
    <xf numFmtId="0" fontId="38" fillId="10" borderId="24" xfId="0" applyFont="1" applyFill="1" applyBorder="1" applyAlignment="1">
      <alignment/>
    </xf>
    <xf numFmtId="180" fontId="33" fillId="10" borderId="28" xfId="15" applyNumberFormat="1" applyFont="1" applyFill="1" applyBorder="1" applyAlignment="1">
      <alignment/>
    </xf>
    <xf numFmtId="0" fontId="13" fillId="13" borderId="34" xfId="0" applyFont="1" applyFill="1" applyBorder="1" applyAlignment="1">
      <alignment horizontal="center"/>
    </xf>
    <xf numFmtId="0" fontId="13" fillId="13" borderId="36" xfId="0" applyFont="1" applyFill="1" applyBorder="1" applyAlignment="1">
      <alignment horizontal="center"/>
    </xf>
    <xf numFmtId="185" fontId="17" fillId="13" borderId="22" xfId="0" applyNumberFormat="1" applyFont="1" applyFill="1" applyBorder="1" applyAlignment="1">
      <alignment horizontal="right"/>
    </xf>
    <xf numFmtId="0" fontId="17" fillId="13" borderId="20" xfId="0" applyFont="1" applyFill="1" applyBorder="1" applyAlignment="1">
      <alignment/>
    </xf>
    <xf numFmtId="0" fontId="17" fillId="13" borderId="24" xfId="0" applyFont="1" applyFill="1" applyBorder="1" applyAlignment="1">
      <alignment horizontal="center"/>
    </xf>
    <xf numFmtId="0" fontId="17" fillId="13" borderId="25" xfId="0" applyFont="1" applyFill="1" applyBorder="1" applyAlignment="1">
      <alignment horizontal="center"/>
    </xf>
    <xf numFmtId="0" fontId="13" fillId="13" borderId="37" xfId="0" applyFont="1" applyFill="1" applyBorder="1" applyAlignment="1">
      <alignment horizontal="center"/>
    </xf>
    <xf numFmtId="0" fontId="17" fillId="8" borderId="0" xfId="0" applyFont="1" applyFill="1" applyBorder="1" applyAlignment="1">
      <alignment/>
    </xf>
    <xf numFmtId="0" fontId="65" fillId="13" borderId="22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19" fillId="8" borderId="45" xfId="0" applyFont="1" applyFill="1" applyBorder="1" applyAlignment="1">
      <alignment/>
    </xf>
    <xf numFmtId="43" fontId="17" fillId="8" borderId="45" xfId="0" applyNumberFormat="1" applyFont="1" applyFill="1" applyBorder="1" applyAlignment="1">
      <alignment/>
    </xf>
    <xf numFmtId="0" fontId="17" fillId="8" borderId="19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7" fillId="8" borderId="20" xfId="0" applyFont="1" applyFill="1" applyBorder="1" applyAlignment="1">
      <alignment/>
    </xf>
    <xf numFmtId="180" fontId="13" fillId="8" borderId="20" xfId="15" applyNumberFormat="1" applyFont="1" applyFill="1" applyBorder="1" applyAlignment="1">
      <alignment/>
    </xf>
    <xf numFmtId="0" fontId="17" fillId="8" borderId="0" xfId="0" applyFont="1" applyFill="1" applyBorder="1" applyAlignment="1">
      <alignment horizontal="right"/>
    </xf>
    <xf numFmtId="0" fontId="19" fillId="8" borderId="0" xfId="0" applyFont="1" applyFill="1" applyBorder="1" applyAlignment="1">
      <alignment horizontal="right"/>
    </xf>
    <xf numFmtId="0" fontId="17" fillId="8" borderId="17" xfId="0" applyFont="1" applyFill="1" applyBorder="1" applyAlignment="1">
      <alignment/>
    </xf>
    <xf numFmtId="0" fontId="17" fillId="8" borderId="40" xfId="0" applyFont="1" applyFill="1" applyBorder="1" applyAlignment="1">
      <alignment horizontal="right"/>
    </xf>
    <xf numFmtId="0" fontId="17" fillId="8" borderId="40" xfId="0" applyFont="1" applyFill="1" applyBorder="1" applyAlignment="1">
      <alignment/>
    </xf>
    <xf numFmtId="0" fontId="17" fillId="8" borderId="41" xfId="0" applyFont="1" applyFill="1" applyBorder="1" applyAlignment="1">
      <alignment/>
    </xf>
    <xf numFmtId="0" fontId="37" fillId="10" borderId="46" xfId="0" applyFont="1" applyFill="1" applyBorder="1" applyAlignment="1">
      <alignment horizontal="center"/>
    </xf>
    <xf numFmtId="0" fontId="37" fillId="10" borderId="27" xfId="0" applyFont="1" applyFill="1" applyBorder="1" applyAlignment="1">
      <alignment horizontal="center"/>
    </xf>
    <xf numFmtId="0" fontId="13" fillId="13" borderId="20" xfId="0" applyFont="1" applyFill="1" applyBorder="1" applyAlignment="1">
      <alignment/>
    </xf>
    <xf numFmtId="0" fontId="17" fillId="13" borderId="43" xfId="0" applyFont="1" applyFill="1" applyBorder="1" applyAlignment="1">
      <alignment/>
    </xf>
    <xf numFmtId="1" fontId="17" fillId="13" borderId="2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80" fontId="0" fillId="0" borderId="1" xfId="15" applyNumberFormat="1" applyFont="1" applyBorder="1" applyAlignment="1">
      <alignment/>
    </xf>
    <xf numFmtId="180" fontId="0" fillId="3" borderId="1" xfId="15" applyNumberFormat="1" applyFont="1" applyFill="1" applyBorder="1" applyAlignment="1">
      <alignment/>
    </xf>
    <xf numFmtId="43" fontId="0" fillId="0" borderId="1" xfId="15" applyFont="1" applyBorder="1" applyAlignment="1">
      <alignment/>
    </xf>
    <xf numFmtId="180" fontId="0" fillId="0" borderId="1" xfId="15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43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"/>
    </xf>
    <xf numFmtId="43" fontId="3" fillId="0" borderId="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1" fontId="3" fillId="0" borderId="1" xfId="0" applyNumberFormat="1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180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80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8" borderId="0" xfId="0" applyFont="1" applyFill="1" applyAlignment="1">
      <alignment/>
    </xf>
    <xf numFmtId="0" fontId="11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0" fontId="0" fillId="0" borderId="0" xfId="0" applyNumberFormat="1" applyFont="1" applyBorder="1" applyAlignment="1">
      <alignment/>
    </xf>
    <xf numFmtId="0" fontId="0" fillId="0" borderId="20" xfId="0" applyFont="1" applyBorder="1" applyAlignment="1" quotePrefix="1">
      <alignment/>
    </xf>
    <xf numFmtId="43" fontId="0" fillId="0" borderId="0" xfId="0" applyNumberFormat="1" applyFont="1" applyBorder="1" applyAlignment="1">
      <alignment/>
    </xf>
    <xf numFmtId="43" fontId="0" fillId="0" borderId="20" xfId="15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43" fontId="0" fillId="0" borderId="0" xfId="0" applyNumberFormat="1" applyFont="1" applyBorder="1" applyAlignment="1" quotePrefix="1">
      <alignment/>
    </xf>
    <xf numFmtId="0" fontId="11" fillId="0" borderId="17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8" borderId="0" xfId="0" applyFill="1" applyAlignment="1">
      <alignment/>
    </xf>
    <xf numFmtId="0" fontId="72" fillId="8" borderId="0" xfId="0" applyFont="1" applyFill="1" applyBorder="1" applyAlignment="1">
      <alignment/>
    </xf>
    <xf numFmtId="0" fontId="72" fillId="9" borderId="35" xfId="0" applyFont="1" applyFill="1" applyBorder="1" applyAlignment="1">
      <alignment horizontal="center"/>
    </xf>
    <xf numFmtId="0" fontId="72" fillId="9" borderId="12" xfId="0" applyFont="1" applyFill="1" applyBorder="1" applyAlignment="1">
      <alignment horizontal="center"/>
    </xf>
    <xf numFmtId="0" fontId="72" fillId="9" borderId="1" xfId="0" applyFont="1" applyFill="1" applyBorder="1" applyAlignment="1">
      <alignment horizontal="center"/>
    </xf>
    <xf numFmtId="17" fontId="72" fillId="9" borderId="1" xfId="0" applyNumberFormat="1" applyFont="1" applyFill="1" applyBorder="1" applyAlignment="1">
      <alignment horizontal="center"/>
    </xf>
    <xf numFmtId="16" fontId="72" fillId="9" borderId="1" xfId="0" applyNumberFormat="1" applyFont="1" applyFill="1" applyBorder="1" applyAlignment="1">
      <alignment horizontal="center"/>
    </xf>
    <xf numFmtId="0" fontId="73" fillId="8" borderId="1" xfId="0" applyFont="1" applyFill="1" applyBorder="1" applyAlignment="1">
      <alignment horizontal="center"/>
    </xf>
    <xf numFmtId="0" fontId="72" fillId="8" borderId="1" xfId="0" applyFont="1" applyFill="1" applyBorder="1" applyAlignment="1">
      <alignment horizontal="center"/>
    </xf>
    <xf numFmtId="0" fontId="73" fillId="8" borderId="47" xfId="0" applyFont="1" applyFill="1" applyBorder="1" applyAlignment="1">
      <alignment horizontal="center"/>
    </xf>
    <xf numFmtId="0" fontId="73" fillId="8" borderId="48" xfId="0" applyFont="1" applyFill="1" applyBorder="1" applyAlignment="1">
      <alignment horizontal="center"/>
    </xf>
    <xf numFmtId="0" fontId="72" fillId="8" borderId="44" xfId="0" applyFont="1" applyFill="1" applyBorder="1" applyAlignment="1">
      <alignment horizontal="center"/>
    </xf>
    <xf numFmtId="0" fontId="72" fillId="8" borderId="0" xfId="0" applyFont="1" applyFill="1" applyBorder="1" applyAlignment="1">
      <alignment horizontal="left"/>
    </xf>
    <xf numFmtId="0" fontId="73" fillId="8" borderId="6" xfId="0" applyFont="1" applyFill="1" applyBorder="1" applyAlignment="1">
      <alignment horizontal="right"/>
    </xf>
    <xf numFmtId="0" fontId="72" fillId="8" borderId="6" xfId="0" applyFont="1" applyFill="1" applyBorder="1" applyAlignment="1">
      <alignment horizontal="left"/>
    </xf>
    <xf numFmtId="0" fontId="72" fillId="8" borderId="6" xfId="0" applyFont="1" applyFill="1" applyBorder="1" applyAlignment="1">
      <alignment/>
    </xf>
    <xf numFmtId="0" fontId="72" fillId="8" borderId="16" xfId="0" applyFont="1" applyFill="1" applyBorder="1" applyAlignment="1">
      <alignment horizontal="center"/>
    </xf>
    <xf numFmtId="0" fontId="72" fillId="8" borderId="23" xfId="0" applyFont="1" applyFill="1" applyBorder="1" applyAlignment="1">
      <alignment/>
    </xf>
    <xf numFmtId="0" fontId="73" fillId="8" borderId="49" xfId="0" applyFont="1" applyFill="1" applyBorder="1" applyAlignment="1">
      <alignment horizontal="center"/>
    </xf>
    <xf numFmtId="0" fontId="72" fillId="8" borderId="23" xfId="0" applyFont="1" applyFill="1" applyBorder="1" applyAlignment="1">
      <alignment horizontal="center"/>
    </xf>
    <xf numFmtId="0" fontId="73" fillId="8" borderId="50" xfId="0" applyFont="1" applyFill="1" applyBorder="1" applyAlignment="1">
      <alignment horizontal="center"/>
    </xf>
    <xf numFmtId="0" fontId="73" fillId="8" borderId="32" xfId="0" applyFont="1" applyFill="1" applyBorder="1" applyAlignment="1">
      <alignment horizontal="center"/>
    </xf>
    <xf numFmtId="0" fontId="72" fillId="8" borderId="13" xfId="0" applyFont="1" applyFill="1" applyBorder="1" applyAlignment="1">
      <alignment horizontal="left"/>
    </xf>
    <xf numFmtId="0" fontId="73" fillId="8" borderId="3" xfId="0" applyFont="1" applyFill="1" applyBorder="1" applyAlignment="1">
      <alignment horizontal="right"/>
    </xf>
    <xf numFmtId="0" fontId="72" fillId="9" borderId="51" xfId="0" applyFont="1" applyFill="1" applyBorder="1" applyAlignment="1">
      <alignment/>
    </xf>
    <xf numFmtId="0" fontId="73" fillId="9" borderId="52" xfId="0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19" xfId="0" applyFill="1" applyBorder="1" applyAlignment="1">
      <alignment/>
    </xf>
    <xf numFmtId="16" fontId="72" fillId="9" borderId="21" xfId="0" applyNumberFormat="1" applyFont="1" applyFill="1" applyBorder="1" applyAlignment="1">
      <alignment horizontal="center"/>
    </xf>
    <xf numFmtId="0" fontId="73" fillId="8" borderId="22" xfId="0" applyFont="1" applyFill="1" applyBorder="1" applyAlignment="1">
      <alignment horizontal="center"/>
    </xf>
    <xf numFmtId="0" fontId="72" fillId="8" borderId="22" xfId="0" applyFont="1" applyFill="1" applyBorder="1" applyAlignment="1">
      <alignment horizontal="center"/>
    </xf>
    <xf numFmtId="0" fontId="72" fillId="8" borderId="51" xfId="0" applyFont="1" applyFill="1" applyBorder="1" applyAlignment="1">
      <alignment horizontal="center"/>
    </xf>
    <xf numFmtId="0" fontId="73" fillId="8" borderId="53" xfId="0" applyFont="1" applyFill="1" applyBorder="1" applyAlignment="1">
      <alignment horizontal="right"/>
    </xf>
    <xf numFmtId="0" fontId="73" fillId="8" borderId="54" xfId="0" applyFont="1" applyFill="1" applyBorder="1" applyAlignment="1">
      <alignment horizontal="center"/>
    </xf>
    <xf numFmtId="0" fontId="73" fillId="8" borderId="55" xfId="0" applyFont="1" applyFill="1" applyBorder="1" applyAlignment="1">
      <alignment horizontal="center"/>
    </xf>
    <xf numFmtId="0" fontId="72" fillId="8" borderId="51" xfId="0" applyFont="1" applyFill="1" applyBorder="1" applyAlignment="1">
      <alignment/>
    </xf>
    <xf numFmtId="0" fontId="73" fillId="8" borderId="40" xfId="0" applyFont="1" applyFill="1" applyBorder="1" applyAlignment="1">
      <alignment horizontal="right"/>
    </xf>
    <xf numFmtId="0" fontId="73" fillId="8" borderId="56" xfId="0" applyFont="1" applyFill="1" applyBorder="1" applyAlignment="1">
      <alignment horizontal="center"/>
    </xf>
    <xf numFmtId="3" fontId="62" fillId="3" borderId="38" xfId="0" applyNumberFormat="1" applyFont="1" applyFill="1" applyBorder="1" applyAlignment="1" applyProtection="1">
      <alignment/>
      <protection locked="0"/>
    </xf>
    <xf numFmtId="4" fontId="55" fillId="8" borderId="0" xfId="0" applyNumberFormat="1" applyFont="1" applyFill="1" applyAlignment="1" applyProtection="1">
      <alignment/>
      <protection/>
    </xf>
    <xf numFmtId="0" fontId="25" fillId="8" borderId="0" xfId="0" applyFont="1" applyFill="1" applyAlignment="1">
      <alignment horizontal="left"/>
    </xf>
    <xf numFmtId="0" fontId="2" fillId="13" borderId="21" xfId="0" applyFont="1" applyFill="1" applyBorder="1" applyAlignment="1">
      <alignment horizontal="center" vertical="top"/>
    </xf>
    <xf numFmtId="3" fontId="26" fillId="11" borderId="21" xfId="0" applyNumberFormat="1" applyFont="1" applyFill="1" applyBorder="1" applyAlignment="1">
      <alignment horizontal="center" vertical="top"/>
    </xf>
    <xf numFmtId="3" fontId="2" fillId="13" borderId="21" xfId="0" applyNumberFormat="1" applyFont="1" applyFill="1" applyBorder="1" applyAlignment="1">
      <alignment horizontal="left"/>
    </xf>
    <xf numFmtId="3" fontId="2" fillId="13" borderId="28" xfId="0" applyNumberFormat="1" applyFont="1" applyFill="1" applyBorder="1" applyAlignment="1">
      <alignment horizontal="right"/>
    </xf>
    <xf numFmtId="37" fontId="2" fillId="2" borderId="22" xfId="0" applyNumberFormat="1" applyFont="1" applyFill="1" applyBorder="1" applyAlignment="1">
      <alignment horizontal="center"/>
    </xf>
    <xf numFmtId="37" fontId="2" fillId="2" borderId="21" xfId="0" applyNumberFormat="1" applyFont="1" applyFill="1" applyBorder="1" applyAlignment="1">
      <alignment/>
    </xf>
    <xf numFmtId="37" fontId="74" fillId="13" borderId="1" xfId="0" applyNumberFormat="1" applyFont="1" applyFill="1" applyBorder="1" applyAlignment="1">
      <alignment/>
    </xf>
    <xf numFmtId="37" fontId="75" fillId="13" borderId="1" xfId="0" applyNumberFormat="1" applyFont="1" applyFill="1" applyBorder="1" applyAlignment="1">
      <alignment/>
    </xf>
    <xf numFmtId="37" fontId="75" fillId="2" borderId="1" xfId="0" applyNumberFormat="1" applyFont="1" applyFill="1" applyBorder="1" applyAlignment="1">
      <alignment wrapText="1"/>
    </xf>
    <xf numFmtId="0" fontId="53" fillId="8" borderId="57" xfId="0" applyFont="1" applyFill="1" applyBorder="1" applyAlignment="1">
      <alignment horizontal="center"/>
    </xf>
    <xf numFmtId="0" fontId="51" fillId="3" borderId="58" xfId="0" applyFont="1" applyFill="1" applyBorder="1" applyAlignment="1">
      <alignment/>
    </xf>
    <xf numFmtId="180" fontId="51" fillId="3" borderId="59" xfId="15" applyNumberFormat="1" applyFont="1" applyFill="1" applyBorder="1" applyAlignment="1">
      <alignment/>
    </xf>
    <xf numFmtId="0" fontId="51" fillId="6" borderId="58" xfId="0" applyFont="1" applyFill="1" applyBorder="1" applyAlignment="1">
      <alignment/>
    </xf>
    <xf numFmtId="180" fontId="51" fillId="6" borderId="59" xfId="15" applyNumberFormat="1" applyFont="1" applyFill="1" applyBorder="1" applyAlignment="1">
      <alignment/>
    </xf>
    <xf numFmtId="0" fontId="53" fillId="12" borderId="58" xfId="0" applyFont="1" applyFill="1" applyBorder="1" applyAlignment="1">
      <alignment horizontal="center"/>
    </xf>
    <xf numFmtId="0" fontId="53" fillId="12" borderId="60" xfId="0" applyFont="1" applyFill="1" applyBorder="1" applyAlignment="1">
      <alignment horizontal="center"/>
    </xf>
    <xf numFmtId="0" fontId="51" fillId="8" borderId="58" xfId="0" applyFont="1" applyFill="1" applyBorder="1" applyAlignment="1">
      <alignment/>
    </xf>
    <xf numFmtId="0" fontId="51" fillId="8" borderId="59" xfId="0" applyFont="1" applyFill="1" applyBorder="1" applyAlignment="1">
      <alignment/>
    </xf>
    <xf numFmtId="0" fontId="51" fillId="8" borderId="59" xfId="0" applyFont="1" applyFill="1" applyBorder="1" applyAlignment="1">
      <alignment/>
    </xf>
    <xf numFmtId="180" fontId="54" fillId="2" borderId="57" xfId="15" applyNumberFormat="1" applyFont="1" applyFill="1" applyBorder="1" applyAlignment="1">
      <alignment/>
    </xf>
    <xf numFmtId="0" fontId="26" fillId="8" borderId="0" xfId="0" applyFont="1" applyFill="1" applyAlignment="1">
      <alignment horizontal="left"/>
    </xf>
    <xf numFmtId="0" fontId="26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37" fontId="2" fillId="8" borderId="0" xfId="0" applyNumberFormat="1" applyFont="1" applyFill="1" applyBorder="1" applyAlignment="1">
      <alignment horizontal="left"/>
    </xf>
    <xf numFmtId="3" fontId="2" fillId="8" borderId="0" xfId="0" applyNumberFormat="1" applyFont="1" applyFill="1" applyBorder="1" applyAlignment="1">
      <alignment horizontal="left"/>
    </xf>
    <xf numFmtId="0" fontId="51" fillId="8" borderId="0" xfId="0" applyFont="1" applyFill="1" applyBorder="1" applyAlignment="1">
      <alignment/>
    </xf>
    <xf numFmtId="37" fontId="2" fillId="13" borderId="1" xfId="0" applyNumberFormat="1" applyFont="1" applyFill="1" applyBorder="1" applyAlignment="1">
      <alignment horizontal="right"/>
    </xf>
    <xf numFmtId="180" fontId="72" fillId="9" borderId="8" xfId="15" applyNumberFormat="1" applyFont="1" applyFill="1" applyBorder="1" applyAlignment="1">
      <alignment horizontal="center"/>
    </xf>
    <xf numFmtId="180" fontId="72" fillId="8" borderId="3" xfId="15" applyNumberFormat="1" applyFont="1" applyFill="1" applyBorder="1" applyAlignment="1">
      <alignment horizontal="center"/>
    </xf>
    <xf numFmtId="180" fontId="73" fillId="9" borderId="32" xfId="15" applyNumberFormat="1" applyFont="1" applyFill="1" applyBorder="1" applyAlignment="1">
      <alignment horizontal="center"/>
    </xf>
    <xf numFmtId="180" fontId="73" fillId="8" borderId="32" xfId="15" applyNumberFormat="1" applyFont="1" applyFill="1" applyBorder="1" applyAlignment="1">
      <alignment horizontal="center"/>
    </xf>
    <xf numFmtId="180" fontId="72" fillId="9" borderId="8" xfId="15" applyNumberFormat="1" applyFont="1" applyFill="1" applyBorder="1" applyAlignment="1">
      <alignment/>
    </xf>
    <xf numFmtId="180" fontId="72" fillId="8" borderId="3" xfId="15" applyNumberFormat="1" applyFont="1" applyFill="1" applyBorder="1" applyAlignment="1">
      <alignment/>
    </xf>
    <xf numFmtId="180" fontId="72" fillId="8" borderId="1" xfId="15" applyNumberFormat="1" applyFont="1" applyFill="1" applyBorder="1" applyAlignment="1">
      <alignment/>
    </xf>
    <xf numFmtId="180" fontId="72" fillId="8" borderId="21" xfId="15" applyNumberFormat="1" applyFont="1" applyFill="1" applyBorder="1" applyAlignment="1">
      <alignment/>
    </xf>
    <xf numFmtId="180" fontId="72" fillId="9" borderId="12" xfId="15" applyNumberFormat="1" applyFont="1" applyFill="1" applyBorder="1" applyAlignment="1">
      <alignment/>
    </xf>
    <xf numFmtId="180" fontId="72" fillId="9" borderId="4" xfId="15" applyNumberFormat="1" applyFont="1" applyFill="1" applyBorder="1" applyAlignment="1">
      <alignment/>
    </xf>
    <xf numFmtId="180" fontId="72" fillId="8" borderId="2" xfId="15" applyNumberFormat="1" applyFont="1" applyFill="1" applyBorder="1" applyAlignment="1">
      <alignment/>
    </xf>
    <xf numFmtId="180" fontId="73" fillId="8" borderId="1" xfId="15" applyNumberFormat="1" applyFont="1" applyFill="1" applyBorder="1" applyAlignment="1">
      <alignment/>
    </xf>
    <xf numFmtId="37" fontId="17" fillId="8" borderId="0" xfId="0" applyNumberFormat="1" applyFont="1" applyFill="1" applyAlignment="1">
      <alignment/>
    </xf>
    <xf numFmtId="38" fontId="61" fillId="6" borderId="1" xfId="0" applyNumberFormat="1" applyFont="1" applyFill="1" applyBorder="1" applyAlignment="1" applyProtection="1">
      <alignment/>
      <protection/>
    </xf>
    <xf numFmtId="38" fontId="61" fillId="6" borderId="38" xfId="0" applyNumberFormat="1" applyFont="1" applyFill="1" applyBorder="1" applyAlignment="1" applyProtection="1">
      <alignment/>
      <protection locked="0"/>
    </xf>
    <xf numFmtId="37" fontId="62" fillId="3" borderId="38" xfId="0" applyNumberFormat="1" applyFont="1" applyFill="1" applyBorder="1" applyAlignment="1" applyProtection="1">
      <alignment/>
      <protection/>
    </xf>
    <xf numFmtId="37" fontId="55" fillId="3" borderId="39" xfId="0" applyNumberFormat="1" applyFont="1" applyFill="1" applyBorder="1" applyAlignment="1" applyProtection="1">
      <alignment/>
      <protection/>
    </xf>
    <xf numFmtId="3" fontId="55" fillId="0" borderId="0" xfId="0" applyNumberFormat="1" applyFont="1" applyFill="1" applyBorder="1" applyAlignment="1" applyProtection="1">
      <alignment/>
      <protection/>
    </xf>
    <xf numFmtId="180" fontId="17" fillId="13" borderId="21" xfId="15" applyNumberFormat="1" applyFont="1" applyFill="1" applyBorder="1" applyAlignment="1">
      <alignment horizontal="right"/>
    </xf>
    <xf numFmtId="180" fontId="17" fillId="13" borderId="28" xfId="15" applyNumberFormat="1" applyFont="1" applyFill="1" applyBorder="1" applyAlignment="1">
      <alignment horizontal="right"/>
    </xf>
    <xf numFmtId="180" fontId="17" fillId="13" borderId="1" xfId="15" applyNumberFormat="1" applyFont="1" applyFill="1" applyBorder="1" applyAlignment="1">
      <alignment horizontal="right"/>
    </xf>
    <xf numFmtId="0" fontId="72" fillId="9" borderId="3" xfId="0" applyFont="1" applyFill="1" applyBorder="1" applyAlignment="1">
      <alignment horizontal="center"/>
    </xf>
    <xf numFmtId="0" fontId="72" fillId="9" borderId="23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 vertical="top"/>
    </xf>
    <xf numFmtId="212" fontId="0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/>
    </xf>
    <xf numFmtId="0" fontId="78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213" fontId="3" fillId="3" borderId="1" xfId="0" applyNumberFormat="1" applyFont="1" applyFill="1" applyBorder="1" applyAlignment="1">
      <alignment horizontal="right" vertical="top"/>
    </xf>
    <xf numFmtId="212" fontId="78" fillId="3" borderId="1" xfId="0" applyNumberFormat="1" applyFont="1" applyFill="1" applyBorder="1" applyAlignment="1">
      <alignment horizontal="right" vertical="top"/>
    </xf>
    <xf numFmtId="213" fontId="3" fillId="6" borderId="15" xfId="0" applyNumberFormat="1" applyFont="1" applyFill="1" applyBorder="1" applyAlignment="1">
      <alignment horizontal="right" vertical="top"/>
    </xf>
    <xf numFmtId="0" fontId="3" fillId="6" borderId="30" xfId="0" applyFont="1" applyFill="1" applyBorder="1" applyAlignment="1">
      <alignment horizontal="right" vertical="top"/>
    </xf>
    <xf numFmtId="213" fontId="3" fillId="6" borderId="30" xfId="0" applyNumberFormat="1" applyFont="1" applyFill="1" applyBorder="1" applyAlignment="1">
      <alignment horizontal="right" vertical="top"/>
    </xf>
    <xf numFmtId="213" fontId="3" fillId="6" borderId="17" xfId="0" applyNumberFormat="1" applyFont="1" applyFill="1" applyBorder="1" applyAlignment="1">
      <alignment horizontal="right" vertical="top"/>
    </xf>
    <xf numFmtId="180" fontId="17" fillId="8" borderId="0" xfId="0" applyNumberFormat="1" applyFont="1" applyFill="1" applyAlignment="1">
      <alignment/>
    </xf>
    <xf numFmtId="0" fontId="72" fillId="9" borderId="34" xfId="0" applyFont="1" applyFill="1" applyBorder="1" applyAlignment="1">
      <alignment horizontal="center"/>
    </xf>
    <xf numFmtId="0" fontId="72" fillId="9" borderId="36" xfId="0" applyFont="1" applyFill="1" applyBorder="1" applyAlignment="1">
      <alignment horizontal="center"/>
    </xf>
    <xf numFmtId="0" fontId="73" fillId="9" borderId="1" xfId="0" applyFont="1" applyFill="1" applyBorder="1" applyAlignment="1">
      <alignment/>
    </xf>
    <xf numFmtId="0" fontId="72" fillId="9" borderId="1" xfId="0" applyFont="1" applyFill="1" applyBorder="1" applyAlignment="1">
      <alignment/>
    </xf>
    <xf numFmtId="0" fontId="72" fillId="9" borderId="1" xfId="0" applyFont="1" applyFill="1" applyBorder="1" applyAlignment="1">
      <alignment/>
    </xf>
    <xf numFmtId="0" fontId="72" fillId="9" borderId="21" xfId="0" applyFont="1" applyFill="1" applyBorder="1" applyAlignment="1">
      <alignment/>
    </xf>
    <xf numFmtId="0" fontId="72" fillId="9" borderId="8" xfId="0" applyFont="1" applyFill="1" applyBorder="1" applyAlignment="1">
      <alignment horizontal="center"/>
    </xf>
    <xf numFmtId="0" fontId="72" fillId="8" borderId="3" xfId="0" applyFont="1" applyFill="1" applyBorder="1" applyAlignment="1">
      <alignment horizontal="center"/>
    </xf>
    <xf numFmtId="17" fontId="72" fillId="8" borderId="3" xfId="0" applyNumberFormat="1" applyFont="1" applyFill="1" applyBorder="1" applyAlignment="1">
      <alignment horizontal="center"/>
    </xf>
    <xf numFmtId="16" fontId="72" fillId="8" borderId="3" xfId="0" applyNumberFormat="1" applyFont="1" applyFill="1" applyBorder="1" applyAlignment="1">
      <alignment horizontal="center"/>
    </xf>
    <xf numFmtId="16" fontId="72" fillId="8" borderId="27" xfId="0" applyNumberFormat="1" applyFont="1" applyFill="1" applyBorder="1" applyAlignment="1">
      <alignment horizontal="center"/>
    </xf>
    <xf numFmtId="180" fontId="72" fillId="8" borderId="3" xfId="0" applyNumberFormat="1" applyFont="1" applyFill="1" applyBorder="1" applyAlignment="1">
      <alignment horizontal="center"/>
    </xf>
    <xf numFmtId="180" fontId="72" fillId="8" borderId="27" xfId="0" applyNumberFormat="1" applyFont="1" applyFill="1" applyBorder="1" applyAlignment="1">
      <alignment horizontal="center"/>
    </xf>
    <xf numFmtId="180" fontId="72" fillId="8" borderId="32" xfId="0" applyNumberFormat="1" applyFont="1" applyFill="1" applyBorder="1" applyAlignment="1">
      <alignment horizontal="center"/>
    </xf>
    <xf numFmtId="180" fontId="72" fillId="8" borderId="62" xfId="0" applyNumberFormat="1" applyFont="1" applyFill="1" applyBorder="1" applyAlignment="1">
      <alignment horizontal="center"/>
    </xf>
    <xf numFmtId="180" fontId="72" fillId="9" borderId="8" xfId="0" applyNumberFormat="1" applyFont="1" applyFill="1" applyBorder="1" applyAlignment="1">
      <alignment/>
    </xf>
    <xf numFmtId="180" fontId="72" fillId="8" borderId="3" xfId="0" applyNumberFormat="1" applyFont="1" applyFill="1" applyBorder="1" applyAlignment="1">
      <alignment/>
    </xf>
    <xf numFmtId="180" fontId="72" fillId="8" borderId="27" xfId="0" applyNumberFormat="1" applyFont="1" applyFill="1" applyBorder="1" applyAlignment="1">
      <alignment/>
    </xf>
    <xf numFmtId="180" fontId="72" fillId="8" borderId="1" xfId="0" applyNumberFormat="1" applyFont="1" applyFill="1" applyBorder="1" applyAlignment="1">
      <alignment/>
    </xf>
    <xf numFmtId="180" fontId="72" fillId="8" borderId="21" xfId="0" applyNumberFormat="1" applyFont="1" applyFill="1" applyBorder="1" applyAlignment="1">
      <alignment/>
    </xf>
    <xf numFmtId="180" fontId="72" fillId="9" borderId="12" xfId="0" applyNumberFormat="1" applyFont="1" applyFill="1" applyBorder="1" applyAlignment="1">
      <alignment/>
    </xf>
    <xf numFmtId="180" fontId="72" fillId="9" borderId="4" xfId="0" applyNumberFormat="1" applyFont="1" applyFill="1" applyBorder="1" applyAlignment="1">
      <alignment/>
    </xf>
    <xf numFmtId="180" fontId="73" fillId="9" borderId="48" xfId="0" applyNumberFormat="1" applyFont="1" applyFill="1" applyBorder="1" applyAlignment="1">
      <alignment/>
    </xf>
    <xf numFmtId="180" fontId="73" fillId="8" borderId="32" xfId="0" applyNumberFormat="1" applyFont="1" applyFill="1" applyBorder="1" applyAlignment="1">
      <alignment/>
    </xf>
    <xf numFmtId="180" fontId="73" fillId="8" borderId="62" xfId="0" applyNumberFormat="1" applyFont="1" applyFill="1" applyBorder="1" applyAlignment="1">
      <alignment/>
    </xf>
    <xf numFmtId="180" fontId="72" fillId="8" borderId="2" xfId="0" applyNumberFormat="1" applyFont="1" applyFill="1" applyBorder="1" applyAlignment="1">
      <alignment/>
    </xf>
    <xf numFmtId="180" fontId="72" fillId="8" borderId="46" xfId="0" applyNumberFormat="1" applyFont="1" applyFill="1" applyBorder="1" applyAlignment="1">
      <alignment/>
    </xf>
    <xf numFmtId="180" fontId="73" fillId="9" borderId="33" xfId="0" applyNumberFormat="1" applyFont="1" applyFill="1" applyBorder="1" applyAlignment="1">
      <alignment/>
    </xf>
    <xf numFmtId="180" fontId="73" fillId="8" borderId="25" xfId="0" applyNumberFormat="1" applyFont="1" applyFill="1" applyBorder="1" applyAlignment="1">
      <alignment/>
    </xf>
    <xf numFmtId="180" fontId="73" fillId="8" borderId="28" xfId="0" applyNumberFormat="1" applyFont="1" applyFill="1" applyBorder="1" applyAlignment="1">
      <alignment/>
    </xf>
    <xf numFmtId="180" fontId="72" fillId="9" borderId="35" xfId="0" applyNumberFormat="1" applyFont="1" applyFill="1" applyBorder="1" applyAlignment="1">
      <alignment/>
    </xf>
    <xf numFmtId="180" fontId="72" fillId="8" borderId="36" xfId="0" applyNumberFormat="1" applyFont="1" applyFill="1" applyBorder="1" applyAlignment="1">
      <alignment/>
    </xf>
    <xf numFmtId="180" fontId="72" fillId="8" borderId="37" xfId="0" applyNumberFormat="1" applyFont="1" applyFill="1" applyBorder="1" applyAlignment="1">
      <alignment/>
    </xf>
    <xf numFmtId="0" fontId="73" fillId="8" borderId="4" xfId="0" applyFont="1" applyFill="1" applyBorder="1" applyAlignment="1">
      <alignment horizontal="center"/>
    </xf>
    <xf numFmtId="0" fontId="72" fillId="8" borderId="2" xfId="0" applyFont="1" applyFill="1" applyBorder="1" applyAlignment="1">
      <alignment horizontal="left"/>
    </xf>
    <xf numFmtId="0" fontId="72" fillId="8" borderId="63" xfId="0" applyFont="1" applyFill="1" applyBorder="1" applyAlignment="1">
      <alignment/>
    </xf>
    <xf numFmtId="180" fontId="73" fillId="8" borderId="1" xfId="0" applyNumberFormat="1" applyFont="1" applyFill="1" applyBorder="1" applyAlignment="1">
      <alignment/>
    </xf>
    <xf numFmtId="180" fontId="73" fillId="8" borderId="21" xfId="0" applyNumberFormat="1" applyFont="1" applyFill="1" applyBorder="1" applyAlignment="1">
      <alignment/>
    </xf>
    <xf numFmtId="180" fontId="73" fillId="9" borderId="25" xfId="0" applyNumberFormat="1" applyFont="1" applyFill="1" applyBorder="1" applyAlignment="1">
      <alignment/>
    </xf>
    <xf numFmtId="180" fontId="73" fillId="9" borderId="28" xfId="0" applyNumberFormat="1" applyFont="1" applyFill="1" applyBorder="1" applyAlignment="1">
      <alignment/>
    </xf>
    <xf numFmtId="40" fontId="3" fillId="8" borderId="3" xfId="0" applyNumberFormat="1" applyFont="1" applyFill="1" applyBorder="1" applyAlignment="1">
      <alignment horizontal="center"/>
    </xf>
    <xf numFmtId="17" fontId="3" fillId="8" borderId="1" xfId="0" applyNumberFormat="1" applyFont="1" applyFill="1" applyBorder="1" applyAlignment="1">
      <alignment horizontal="center"/>
    </xf>
    <xf numFmtId="16" fontId="3" fillId="8" borderId="64" xfId="0" applyNumberFormat="1" applyFont="1" applyFill="1" applyBorder="1" applyAlignment="1">
      <alignment horizontal="center"/>
    </xf>
    <xf numFmtId="16" fontId="3" fillId="8" borderId="1" xfId="0" applyNumberFormat="1" applyFont="1" applyFill="1" applyBorder="1" applyAlignment="1">
      <alignment horizontal="center"/>
    </xf>
    <xf numFmtId="38" fontId="0" fillId="9" borderId="3" xfId="0" applyNumberFormat="1" applyFont="1" applyFill="1" applyBorder="1" applyAlignment="1">
      <alignment horizontal="right"/>
    </xf>
    <xf numFmtId="38" fontId="0" fillId="3" borderId="3" xfId="15" applyNumberFormat="1" applyFont="1" applyFill="1" applyBorder="1" applyAlignment="1">
      <alignment horizontal="right"/>
    </xf>
    <xf numFmtId="38" fontId="0" fillId="3" borderId="1" xfId="0" applyNumberFormat="1" applyFont="1" applyFill="1" applyBorder="1" applyAlignment="1">
      <alignment horizontal="right"/>
    </xf>
    <xf numFmtId="38" fontId="0" fillId="3" borderId="64" xfId="0" applyNumberFormat="1" applyFont="1" applyFill="1" applyBorder="1" applyAlignment="1">
      <alignment horizontal="right"/>
    </xf>
    <xf numFmtId="38" fontId="3" fillId="3" borderId="1" xfId="0" applyNumberFormat="1" applyFont="1" applyFill="1" applyBorder="1" applyAlignment="1">
      <alignment horizontal="right"/>
    </xf>
    <xf numFmtId="38" fontId="3" fillId="3" borderId="1" xfId="0" applyNumberFormat="1" applyFont="1" applyFill="1" applyBorder="1" applyAlignment="1">
      <alignment horizontal="center"/>
    </xf>
    <xf numFmtId="38" fontId="0" fillId="3" borderId="3" xfId="0" applyNumberFormat="1" applyFont="1" applyFill="1" applyBorder="1" applyAlignment="1">
      <alignment horizontal="right"/>
    </xf>
    <xf numFmtId="38" fontId="0" fillId="3" borderId="9" xfId="0" applyNumberFormat="1" applyFont="1" applyFill="1" applyBorder="1" applyAlignment="1">
      <alignment horizontal="right"/>
    </xf>
    <xf numFmtId="38" fontId="3" fillId="3" borderId="3" xfId="0" applyNumberFormat="1" applyFont="1" applyFill="1" applyBorder="1" applyAlignment="1">
      <alignment horizontal="right"/>
    </xf>
    <xf numFmtId="38" fontId="0" fillId="9" borderId="1" xfId="0" applyNumberFormat="1" applyFont="1" applyFill="1" applyBorder="1" applyAlignment="1">
      <alignment horizontal="right"/>
    </xf>
    <xf numFmtId="38" fontId="0" fillId="3" borderId="3" xfId="15" applyNumberFormat="1" applyFont="1" applyFill="1" applyBorder="1" applyAlignment="1">
      <alignment horizontal="center"/>
    </xf>
    <xf numFmtId="38" fontId="0" fillId="3" borderId="9" xfId="15" applyNumberFormat="1" applyFont="1" applyFill="1" applyBorder="1" applyAlignment="1">
      <alignment horizontal="center"/>
    </xf>
    <xf numFmtId="38" fontId="0" fillId="9" borderId="1" xfId="15" applyNumberFormat="1" applyFont="1" applyFill="1" applyBorder="1" applyAlignment="1">
      <alignment horizontal="right" wrapText="1"/>
    </xf>
    <xf numFmtId="38" fontId="0" fillId="3" borderId="3" xfId="15" applyNumberFormat="1" applyFont="1" applyFill="1" applyBorder="1" applyAlignment="1">
      <alignment horizontal="right" wrapText="1"/>
    </xf>
    <xf numFmtId="38" fontId="0" fillId="3" borderId="1" xfId="15" applyNumberFormat="1" applyFont="1" applyFill="1" applyBorder="1" applyAlignment="1">
      <alignment horizontal="right"/>
    </xf>
    <xf numFmtId="38" fontId="0" fillId="3" borderId="64" xfId="15" applyNumberFormat="1" applyFont="1" applyFill="1" applyBorder="1" applyAlignment="1">
      <alignment horizontal="right"/>
    </xf>
    <xf numFmtId="38" fontId="0" fillId="3" borderId="9" xfId="15" applyNumberFormat="1" applyFont="1" applyFill="1" applyBorder="1" applyAlignment="1">
      <alignment horizontal="right"/>
    </xf>
    <xf numFmtId="38" fontId="0" fillId="3" borderId="1" xfId="15" applyNumberFormat="1" applyFont="1" applyFill="1" applyBorder="1" applyAlignment="1">
      <alignment horizontal="right" wrapText="1"/>
    </xf>
    <xf numFmtId="38" fontId="3" fillId="9" borderId="32" xfId="0" applyNumberFormat="1" applyFont="1" applyFill="1" applyBorder="1" applyAlignment="1">
      <alignment horizontal="right"/>
    </xf>
    <xf numFmtId="38" fontId="3" fillId="3" borderId="32" xfId="0" applyNumberFormat="1" applyFont="1" applyFill="1" applyBorder="1" applyAlignment="1">
      <alignment horizontal="right"/>
    </xf>
    <xf numFmtId="38" fontId="3" fillId="3" borderId="32" xfId="15" applyNumberFormat="1" applyFont="1" applyFill="1" applyBorder="1" applyAlignment="1">
      <alignment horizontal="right" wrapText="1"/>
    </xf>
    <xf numFmtId="38" fontId="3" fillId="3" borderId="49" xfId="0" applyNumberFormat="1" applyFont="1" applyFill="1" applyBorder="1" applyAlignment="1">
      <alignment horizontal="right"/>
    </xf>
    <xf numFmtId="38" fontId="3" fillId="3" borderId="32" xfId="15" applyNumberFormat="1" applyFont="1" applyFill="1" applyBorder="1" applyAlignment="1">
      <alignment horizontal="right"/>
    </xf>
    <xf numFmtId="38" fontId="0" fillId="3" borderId="1" xfId="0" applyNumberFormat="1" applyFont="1" applyFill="1" applyBorder="1" applyAlignment="1">
      <alignment horizontal="right" wrapText="1"/>
    </xf>
    <xf numFmtId="38" fontId="0" fillId="3" borderId="3" xfId="0" applyNumberFormat="1" applyFont="1" applyFill="1" applyBorder="1" applyAlignment="1">
      <alignment horizontal="right" wrapText="1"/>
    </xf>
    <xf numFmtId="38" fontId="3" fillId="9" borderId="2" xfId="15" applyNumberFormat="1" applyFont="1" applyFill="1" applyBorder="1" applyAlignment="1">
      <alignment horizontal="right" wrapText="1"/>
    </xf>
    <xf numFmtId="38" fontId="3" fillId="3" borderId="2" xfId="0" applyNumberFormat="1" applyFont="1" applyFill="1" applyBorder="1" applyAlignment="1">
      <alignment horizontal="right" wrapText="1"/>
    </xf>
    <xf numFmtId="38" fontId="3" fillId="3" borderId="2" xfId="0" applyNumberFormat="1" applyFont="1" applyFill="1" applyBorder="1" applyAlignment="1">
      <alignment horizontal="right"/>
    </xf>
    <xf numFmtId="38" fontId="3" fillId="3" borderId="2" xfId="15" applyNumberFormat="1" applyFont="1" applyFill="1" applyBorder="1" applyAlignment="1">
      <alignment horizontal="right"/>
    </xf>
    <xf numFmtId="38" fontId="3" fillId="9" borderId="1" xfId="0" applyNumberFormat="1" applyFont="1" applyFill="1" applyBorder="1" applyAlignment="1">
      <alignment horizontal="right"/>
    </xf>
    <xf numFmtId="38" fontId="3" fillId="9" borderId="1" xfId="15" applyNumberFormat="1" applyFont="1" applyFill="1" applyBorder="1" applyAlignment="1">
      <alignment horizontal="right" wrapText="1"/>
    </xf>
    <xf numFmtId="0" fontId="42" fillId="8" borderId="15" xfId="0" applyFont="1" applyFill="1" applyBorder="1" applyAlignment="1">
      <alignment/>
    </xf>
    <xf numFmtId="0" fontId="42" fillId="8" borderId="19" xfId="0" applyFont="1" applyFill="1" applyBorder="1" applyAlignment="1">
      <alignment/>
    </xf>
    <xf numFmtId="0" fontId="42" fillId="8" borderId="16" xfId="0" applyFont="1" applyFill="1" applyBorder="1" applyAlignment="1">
      <alignment/>
    </xf>
    <xf numFmtId="0" fontId="42" fillId="8" borderId="20" xfId="0" applyFont="1" applyFill="1" applyBorder="1" applyAlignment="1">
      <alignment/>
    </xf>
    <xf numFmtId="0" fontId="42" fillId="8" borderId="17" xfId="0" applyFont="1" applyFill="1" applyBorder="1" applyAlignment="1">
      <alignment/>
    </xf>
    <xf numFmtId="0" fontId="42" fillId="8" borderId="41" xfId="0" applyFont="1" applyFill="1" applyBorder="1" applyAlignment="1">
      <alignment/>
    </xf>
    <xf numFmtId="0" fontId="73" fillId="8" borderId="0" xfId="0" applyFont="1" applyFill="1" applyBorder="1" applyAlignment="1">
      <alignment horizontal="right"/>
    </xf>
    <xf numFmtId="0" fontId="26" fillId="11" borderId="65" xfId="0" applyFont="1" applyFill="1" applyBorder="1" applyAlignment="1">
      <alignment horizontal="center" vertical="top"/>
    </xf>
    <xf numFmtId="0" fontId="26" fillId="11" borderId="10" xfId="0" applyFont="1" applyFill="1" applyBorder="1" applyAlignment="1">
      <alignment horizontal="center" vertical="top"/>
    </xf>
    <xf numFmtId="0" fontId="26" fillId="11" borderId="63" xfId="0" applyFont="1" applyFill="1" applyBorder="1" applyAlignment="1">
      <alignment horizontal="center" vertical="top"/>
    </xf>
    <xf numFmtId="0" fontId="26" fillId="11" borderId="9" xfId="0" applyFont="1" applyFill="1" applyBorder="1" applyAlignment="1">
      <alignment horizontal="center" vertical="top"/>
    </xf>
    <xf numFmtId="0" fontId="2" fillId="13" borderId="66" xfId="0" applyFont="1" applyFill="1" applyBorder="1" applyAlignment="1">
      <alignment horizontal="center"/>
    </xf>
    <xf numFmtId="0" fontId="26" fillId="11" borderId="64" xfId="0" applyFon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26" fillId="11" borderId="66" xfId="0" applyFont="1" applyFill="1" applyBorder="1" applyAlignment="1">
      <alignment horizontal="center" vertical="top"/>
    </xf>
    <xf numFmtId="0" fontId="16" fillId="8" borderId="16" xfId="0" applyFont="1" applyFill="1" applyBorder="1" applyAlignment="1">
      <alignment/>
    </xf>
    <xf numFmtId="37" fontId="27" fillId="13" borderId="19" xfId="0" applyNumberFormat="1" applyFont="1" applyFill="1" applyBorder="1" applyAlignment="1">
      <alignment horizontal="center"/>
    </xf>
    <xf numFmtId="37" fontId="27" fillId="13" borderId="63" xfId="0" applyNumberFormat="1" applyFont="1" applyFill="1" applyBorder="1" applyAlignment="1">
      <alignment horizontal="center"/>
    </xf>
    <xf numFmtId="37" fontId="27" fillId="13" borderId="11" xfId="0" applyNumberFormat="1" applyFont="1" applyFill="1" applyBorder="1" applyAlignment="1">
      <alignment horizontal="center"/>
    </xf>
    <xf numFmtId="37" fontId="27" fillId="13" borderId="67" xfId="0" applyNumberFormat="1" applyFont="1" applyFill="1" applyBorder="1" applyAlignment="1">
      <alignment horizontal="center"/>
    </xf>
    <xf numFmtId="0" fontId="25" fillId="13" borderId="12" xfId="0" applyFont="1" applyFill="1" applyBorder="1" applyAlignment="1">
      <alignment horizontal="left"/>
    </xf>
    <xf numFmtId="0" fontId="25" fillId="2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justify" vertical="top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justify" vertical="top"/>
    </xf>
    <xf numFmtId="3" fontId="0" fillId="0" borderId="3" xfId="0" applyNumberFormat="1" applyBorder="1" applyAlignment="1">
      <alignment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37" fontId="1" fillId="0" borderId="13" xfId="0" applyNumberFormat="1" applyFont="1" applyBorder="1" applyAlignment="1">
      <alignment horizontal="justify" wrapText="1"/>
    </xf>
    <xf numFmtId="37" fontId="1" fillId="0" borderId="3" xfId="0" applyNumberFormat="1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7" fontId="26" fillId="10" borderId="22" xfId="0" applyNumberFormat="1" applyFont="1" applyFill="1" applyBorder="1" applyAlignment="1">
      <alignment horizontal="center"/>
    </xf>
    <xf numFmtId="37" fontId="26" fillId="10" borderId="2" xfId="0" applyNumberFormat="1" applyFont="1" applyFill="1" applyBorder="1" applyAlignment="1">
      <alignment horizontal="center" vertical="center" wrapText="1"/>
    </xf>
    <xf numFmtId="37" fontId="26" fillId="10" borderId="3" xfId="0" applyNumberFormat="1" applyFont="1" applyFill="1" applyBorder="1" applyAlignment="1">
      <alignment horizontal="center" vertical="center" wrapText="1"/>
    </xf>
    <xf numFmtId="37" fontId="29" fillId="13" borderId="15" xfId="0" applyNumberFormat="1" applyFont="1" applyFill="1" applyBorder="1" applyAlignment="1">
      <alignment horizontal="center"/>
    </xf>
    <xf numFmtId="37" fontId="27" fillId="13" borderId="45" xfId="0" applyNumberFormat="1" applyFont="1" applyFill="1" applyBorder="1" applyAlignment="1">
      <alignment horizontal="center"/>
    </xf>
    <xf numFmtId="0" fontId="2" fillId="13" borderId="64" xfId="0" applyFont="1" applyFill="1" applyBorder="1" applyAlignment="1">
      <alignment horizontal="center"/>
    </xf>
    <xf numFmtId="0" fontId="32" fillId="2" borderId="42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3" fontId="2" fillId="2" borderId="46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0" fontId="27" fillId="13" borderId="68" xfId="0" applyFont="1" applyFill="1" applyBorder="1" applyAlignment="1">
      <alignment horizontal="center"/>
    </xf>
    <xf numFmtId="0" fontId="27" fillId="13" borderId="69" xfId="0" applyFont="1" applyFill="1" applyBorder="1" applyAlignment="1">
      <alignment horizontal="center"/>
    </xf>
    <xf numFmtId="0" fontId="27" fillId="13" borderId="70" xfId="0" applyFont="1" applyFill="1" applyBorder="1" applyAlignment="1">
      <alignment horizontal="center"/>
    </xf>
    <xf numFmtId="0" fontId="2" fillId="13" borderId="71" xfId="0" applyFont="1" applyFill="1" applyBorder="1" applyAlignment="1">
      <alignment horizontal="center"/>
    </xf>
    <xf numFmtId="0" fontId="2" fillId="13" borderId="72" xfId="0" applyFont="1" applyFill="1" applyBorder="1" applyAlignment="1">
      <alignment horizontal="center"/>
    </xf>
    <xf numFmtId="0" fontId="26" fillId="11" borderId="12" xfId="0" applyFont="1" applyFill="1" applyBorder="1" applyAlignment="1">
      <alignment horizontal="center"/>
    </xf>
    <xf numFmtId="0" fontId="26" fillId="11" borderId="64" xfId="0" applyFont="1" applyFill="1" applyBorder="1" applyAlignment="1">
      <alignment horizontal="center"/>
    </xf>
    <xf numFmtId="3" fontId="26" fillId="11" borderId="12" xfId="0" applyNumberFormat="1" applyFont="1" applyFill="1" applyBorder="1" applyAlignment="1">
      <alignment horizontal="center"/>
    </xf>
    <xf numFmtId="3" fontId="26" fillId="11" borderId="64" xfId="0" applyNumberFormat="1" applyFont="1" applyFill="1" applyBorder="1" applyAlignment="1">
      <alignment horizontal="center"/>
    </xf>
    <xf numFmtId="0" fontId="26" fillId="11" borderId="72" xfId="0" applyFont="1" applyFill="1" applyBorder="1" applyAlignment="1">
      <alignment horizontal="center"/>
    </xf>
    <xf numFmtId="3" fontId="26" fillId="11" borderId="4" xfId="0" applyNumberFormat="1" applyFont="1" applyFill="1" applyBorder="1" applyAlignment="1">
      <alignment horizontal="center"/>
    </xf>
    <xf numFmtId="3" fontId="26" fillId="11" borderId="10" xfId="0" applyNumberFormat="1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3" fillId="9" borderId="64" xfId="0" applyFont="1" applyFill="1" applyBorder="1" applyAlignment="1">
      <alignment horizontal="center"/>
    </xf>
    <xf numFmtId="0" fontId="35" fillId="13" borderId="4" xfId="0" applyFont="1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13" borderId="8" xfId="0" applyFont="1" applyFill="1" applyBorder="1" applyAlignment="1">
      <alignment horizontal="center"/>
    </xf>
    <xf numFmtId="0" fontId="35" fillId="13" borderId="9" xfId="0" applyFont="1" applyFill="1" applyBorder="1" applyAlignment="1">
      <alignment horizontal="center"/>
    </xf>
    <xf numFmtId="37" fontId="52" fillId="8" borderId="0" xfId="0" applyNumberFormat="1" applyFont="1" applyFill="1" applyBorder="1" applyAlignment="1">
      <alignment horizontal="center"/>
    </xf>
    <xf numFmtId="0" fontId="53" fillId="8" borderId="58" xfId="0" applyFont="1" applyFill="1" applyBorder="1" applyAlignment="1">
      <alignment horizontal="center"/>
    </xf>
    <xf numFmtId="0" fontId="53" fillId="8" borderId="60" xfId="0" applyFont="1" applyFill="1" applyBorder="1" applyAlignment="1">
      <alignment horizontal="center"/>
    </xf>
    <xf numFmtId="3" fontId="64" fillId="3" borderId="15" xfId="0" applyNumberFormat="1" applyFont="1" applyFill="1" applyBorder="1" applyAlignment="1" applyProtection="1">
      <alignment horizontal="center"/>
      <protection/>
    </xf>
    <xf numFmtId="3" fontId="64" fillId="3" borderId="45" xfId="0" applyNumberFormat="1" applyFont="1" applyFill="1" applyBorder="1" applyAlignment="1" applyProtection="1">
      <alignment horizontal="center"/>
      <protection/>
    </xf>
    <xf numFmtId="3" fontId="64" fillId="3" borderId="12" xfId="0" applyNumberFormat="1" applyFont="1" applyFill="1" applyBorder="1" applyAlignment="1" applyProtection="1">
      <alignment horizontal="center"/>
      <protection/>
    </xf>
    <xf numFmtId="3" fontId="64" fillId="3" borderId="71" xfId="0" applyNumberFormat="1" applyFont="1" applyFill="1" applyBorder="1" applyAlignment="1" applyProtection="1">
      <alignment horizontal="center"/>
      <protection/>
    </xf>
    <xf numFmtId="3" fontId="64" fillId="3" borderId="64" xfId="0" applyNumberFormat="1" applyFont="1" applyFill="1" applyBorder="1" applyAlignment="1" applyProtection="1">
      <alignment horizontal="center"/>
      <protection/>
    </xf>
    <xf numFmtId="3" fontId="58" fillId="10" borderId="0" xfId="0" applyNumberFormat="1" applyFont="1" applyFill="1" applyBorder="1" applyAlignment="1" applyProtection="1">
      <alignment horizontal="center"/>
      <protection/>
    </xf>
    <xf numFmtId="43" fontId="36" fillId="13" borderId="12" xfId="15" applyFont="1" applyFill="1" applyBorder="1" applyAlignment="1">
      <alignment horizontal="center"/>
    </xf>
    <xf numFmtId="43" fontId="36" fillId="13" borderId="71" xfId="15" applyFont="1" applyFill="1" applyBorder="1" applyAlignment="1">
      <alignment horizontal="center"/>
    </xf>
    <xf numFmtId="43" fontId="36" fillId="13" borderId="64" xfId="15" applyFont="1" applyFill="1" applyBorder="1" applyAlignment="1">
      <alignment horizontal="center"/>
    </xf>
    <xf numFmtId="43" fontId="37" fillId="10" borderId="4" xfId="15" applyFont="1" applyFill="1" applyBorder="1" applyAlignment="1">
      <alignment horizontal="center"/>
    </xf>
    <xf numFmtId="43" fontId="37" fillId="10" borderId="5" xfId="15" applyFont="1" applyFill="1" applyBorder="1" applyAlignment="1">
      <alignment horizontal="center"/>
    </xf>
    <xf numFmtId="43" fontId="37" fillId="10" borderId="10" xfId="15" applyFont="1" applyFill="1" applyBorder="1" applyAlignment="1">
      <alignment horizontal="center"/>
    </xf>
    <xf numFmtId="43" fontId="37" fillId="10" borderId="8" xfId="15" applyFont="1" applyFill="1" applyBorder="1" applyAlignment="1">
      <alignment horizontal="center"/>
    </xf>
    <xf numFmtId="43" fontId="37" fillId="10" borderId="11" xfId="15" applyFont="1" applyFill="1" applyBorder="1" applyAlignment="1">
      <alignment horizontal="center"/>
    </xf>
    <xf numFmtId="43" fontId="37" fillId="10" borderId="9" xfId="15" applyFont="1" applyFill="1" applyBorder="1" applyAlignment="1">
      <alignment horizontal="center"/>
    </xf>
    <xf numFmtId="43" fontId="33" fillId="10" borderId="12" xfId="15" applyFont="1" applyFill="1" applyBorder="1" applyAlignment="1">
      <alignment horizontal="center"/>
    </xf>
    <xf numFmtId="43" fontId="33" fillId="10" borderId="64" xfId="15" applyFont="1" applyFill="1" applyBorder="1" applyAlignment="1">
      <alignment horizontal="center"/>
    </xf>
    <xf numFmtId="43" fontId="24" fillId="13" borderId="6" xfId="15" applyFont="1" applyFill="1" applyBorder="1" applyAlignment="1">
      <alignment horizontal="left"/>
    </xf>
    <xf numFmtId="43" fontId="24" fillId="13" borderId="7" xfId="15" applyFont="1" applyFill="1" applyBorder="1" applyAlignment="1">
      <alignment horizontal="left"/>
    </xf>
    <xf numFmtId="0" fontId="43" fillId="13" borderId="68" xfId="0" applyFont="1" applyFill="1" applyBorder="1" applyAlignment="1">
      <alignment horizontal="center"/>
    </xf>
    <xf numFmtId="0" fontId="43" fillId="13" borderId="69" xfId="0" applyFont="1" applyFill="1" applyBorder="1" applyAlignment="1">
      <alignment horizontal="center"/>
    </xf>
    <xf numFmtId="0" fontId="43" fillId="13" borderId="70" xfId="0" applyFont="1" applyFill="1" applyBorder="1" applyAlignment="1">
      <alignment horizontal="center"/>
    </xf>
    <xf numFmtId="0" fontId="37" fillId="10" borderId="65" xfId="0" applyFont="1" applyFill="1" applyBorder="1" applyAlignment="1">
      <alignment horizontal="center"/>
    </xf>
    <xf numFmtId="0" fontId="37" fillId="10" borderId="5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63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9" xfId="0" applyFont="1" applyFill="1" applyBorder="1" applyAlignment="1">
      <alignment horizontal="center"/>
    </xf>
    <xf numFmtId="0" fontId="43" fillId="13" borderId="6" xfId="0" applyFont="1" applyFill="1" applyBorder="1" applyAlignment="1">
      <alignment horizontal="left"/>
    </xf>
    <xf numFmtId="0" fontId="43" fillId="13" borderId="0" xfId="0" applyFont="1" applyFill="1" applyBorder="1" applyAlignment="1">
      <alignment horizontal="left"/>
    </xf>
    <xf numFmtId="0" fontId="43" fillId="13" borderId="7" xfId="0" applyFont="1" applyFill="1" applyBorder="1" applyAlignment="1">
      <alignment horizontal="left"/>
    </xf>
    <xf numFmtId="0" fontId="33" fillId="10" borderId="33" xfId="0" applyFont="1" applyFill="1" applyBorder="1" applyAlignment="1">
      <alignment horizontal="center"/>
    </xf>
    <xf numFmtId="0" fontId="33" fillId="10" borderId="73" xfId="0" applyFont="1" applyFill="1" applyBorder="1" applyAlignment="1">
      <alignment horizontal="center"/>
    </xf>
    <xf numFmtId="0" fontId="33" fillId="10" borderId="74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13" fillId="13" borderId="12" xfId="0" applyFont="1" applyFill="1" applyBorder="1" applyAlignment="1">
      <alignment horizontal="center"/>
    </xf>
    <xf numFmtId="0" fontId="13" fillId="13" borderId="64" xfId="0" applyFont="1" applyFill="1" applyBorder="1" applyAlignment="1">
      <alignment horizontal="center"/>
    </xf>
    <xf numFmtId="2" fontId="17" fillId="8" borderId="0" xfId="0" applyNumberFormat="1" applyFont="1" applyFill="1" applyBorder="1" applyAlignment="1">
      <alignment horizontal="center"/>
    </xf>
    <xf numFmtId="2" fontId="13" fillId="8" borderId="40" xfId="0" applyNumberFormat="1" applyFont="1" applyFill="1" applyBorder="1" applyAlignment="1">
      <alignment horizontal="center"/>
    </xf>
    <xf numFmtId="0" fontId="13" fillId="13" borderId="33" xfId="0" applyFont="1" applyFill="1" applyBorder="1" applyAlignment="1">
      <alignment horizontal="center"/>
    </xf>
    <xf numFmtId="0" fontId="13" fillId="13" borderId="7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71" xfId="0" applyFont="1" applyFill="1" applyBorder="1" applyAlignment="1">
      <alignment horizontal="center"/>
    </xf>
    <xf numFmtId="0" fontId="3" fillId="9" borderId="64" xfId="0" applyFont="1" applyFill="1" applyBorder="1" applyAlignment="1">
      <alignment horizontal="center"/>
    </xf>
    <xf numFmtId="0" fontId="44" fillId="8" borderId="16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20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 vertical="top"/>
    </xf>
    <xf numFmtId="0" fontId="3" fillId="6" borderId="76" xfId="0" applyFont="1" applyFill="1" applyBorder="1" applyAlignment="1">
      <alignment horizontal="center" vertical="top"/>
    </xf>
    <xf numFmtId="0" fontId="3" fillId="6" borderId="77" xfId="0" applyFont="1" applyFill="1" applyBorder="1" applyAlignment="1">
      <alignment horizontal="center" vertical="top"/>
    </xf>
    <xf numFmtId="0" fontId="67" fillId="6" borderId="15" xfId="0" applyFont="1" applyFill="1" applyBorder="1" applyAlignment="1">
      <alignment horizontal="center"/>
    </xf>
    <xf numFmtId="0" fontId="67" fillId="6" borderId="45" xfId="0" applyFont="1" applyFill="1" applyBorder="1" applyAlignment="1">
      <alignment horizontal="center"/>
    </xf>
    <xf numFmtId="0" fontId="67" fillId="6" borderId="19" xfId="0" applyFont="1" applyFill="1" applyBorder="1" applyAlignment="1">
      <alignment horizontal="center"/>
    </xf>
    <xf numFmtId="0" fontId="66" fillId="6" borderId="16" xfId="0" applyFont="1" applyFill="1" applyBorder="1" applyAlignment="1">
      <alignment horizontal="center"/>
    </xf>
    <xf numFmtId="0" fontId="66" fillId="6" borderId="0" xfId="0" applyFont="1" applyFill="1" applyBorder="1" applyAlignment="1">
      <alignment horizontal="center"/>
    </xf>
    <xf numFmtId="0" fontId="66" fillId="6" borderId="20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49" fillId="3" borderId="78" xfId="0" applyFont="1" applyFill="1" applyBorder="1" applyAlignment="1">
      <alignment horizontal="center" vertical="top"/>
    </xf>
    <xf numFmtId="0" fontId="49" fillId="3" borderId="79" xfId="0" applyFont="1" applyFill="1" applyBorder="1" applyAlignment="1">
      <alignment horizontal="center" vertical="top"/>
    </xf>
    <xf numFmtId="0" fontId="49" fillId="3" borderId="80" xfId="0" applyFont="1" applyFill="1" applyBorder="1" applyAlignment="1">
      <alignment horizontal="center" vertical="top"/>
    </xf>
    <xf numFmtId="37" fontId="2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 vertical="center" wrapText="1"/>
    </xf>
    <xf numFmtId="37" fontId="2" fillId="0" borderId="3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justify" wrapText="1"/>
    </xf>
    <xf numFmtId="37" fontId="0" fillId="0" borderId="0" xfId="0" applyNumberFormat="1" applyAlignment="1">
      <alignment horizontal="justify" wrapText="1"/>
    </xf>
    <xf numFmtId="37" fontId="2" fillId="0" borderId="2" xfId="0" applyNumberFormat="1" applyFont="1" applyBorder="1" applyAlignment="1">
      <alignment wrapText="1"/>
    </xf>
    <xf numFmtId="37" fontId="0" fillId="0" borderId="3" xfId="0" applyNumberFormat="1" applyBorder="1" applyAlignment="1">
      <alignment wrapText="1"/>
    </xf>
    <xf numFmtId="39" fontId="3" fillId="0" borderId="0" xfId="0" applyNumberFormat="1" applyFont="1" applyFill="1" applyAlignment="1">
      <alignment horizontal="center" vertical="center"/>
    </xf>
    <xf numFmtId="39" fontId="3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64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9EB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3975" y="0"/>
          <a:ext cx="3676650" cy="0"/>
        </a:xfrm>
        <a:prstGeom prst="horizontalScroll">
          <a:avLst>
            <a:gd name="adj" fmla="val -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
</a:t>
          </a:r>
          <a:r>
            <a:rPr lang="en-US" cap="none" sz="2400" b="1" i="0" u="sng" baseline="0"/>
            <a:t>PIONEER EMBROIDERIES LIMITED - UNIT-13
</a:t>
          </a:r>
          <a:r>
            <a:rPr lang="en-US" cap="none" sz="2400" b="0" i="0" u="sng" baseline="0"/>
            <a:t> REPORTS-May'08</a:t>
          </a:r>
        </a:p>
      </xdr:txBody>
    </xdr:sp>
    <xdr:clientData/>
  </xdr:twoCellAnchor>
  <xdr:twoCellAnchor>
    <xdr:from>
      <xdr:col>4</xdr:col>
      <xdr:colOff>561975</xdr:colOff>
      <xdr:row>6</xdr:row>
      <xdr:rowOff>95250</xdr:rowOff>
    </xdr:from>
    <xdr:to>
      <xdr:col>11</xdr:col>
      <xdr:colOff>342900</xdr:colOff>
      <xdr:row>12</xdr:row>
      <xdr:rowOff>123825</xdr:rowOff>
    </xdr:to>
    <xdr:sp>
      <xdr:nvSpPr>
        <xdr:cNvPr id="2" name="AutoShape 18"/>
        <xdr:cNvSpPr>
          <a:spLocks/>
        </xdr:cNvSpPr>
      </xdr:nvSpPr>
      <xdr:spPr>
        <a:xfrm>
          <a:off x="2781300" y="1123950"/>
          <a:ext cx="4048125" cy="1152525"/>
        </a:xfrm>
        <a:prstGeom prst="rect">
          <a:avLst/>
        </a:prstGeom>
        <a:pattFill prst="dotDmnd">
          <a:fgClr>
            <a:srgbClr val="000000"/>
          </a:fgClr>
          <a:bgClr>
            <a:srgbClr val="FFFFFF"/>
          </a:bgClr>
        </a:pattFill>
        <a:ln w="0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38100</xdr:rowOff>
    </xdr:from>
    <xdr:to>
      <xdr:col>9</xdr:col>
      <xdr:colOff>581025</xdr:colOff>
      <xdr:row>25</xdr:row>
      <xdr:rowOff>104775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33650"/>
          <a:ext cx="3943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12</xdr:col>
      <xdr:colOff>228600</xdr:colOff>
      <xdr:row>62</xdr:row>
      <xdr:rowOff>85725</xdr:rowOff>
    </xdr:to>
    <xdr:grpSp>
      <xdr:nvGrpSpPr>
        <xdr:cNvPr id="4" name="Group 24"/>
        <xdr:cNvGrpSpPr>
          <a:grpSpLocks/>
        </xdr:cNvGrpSpPr>
      </xdr:nvGrpSpPr>
      <xdr:grpSpPr>
        <a:xfrm>
          <a:off x="466725" y="200025"/>
          <a:ext cx="6934200" cy="10153650"/>
          <a:chOff x="106756200" y="105613200"/>
          <a:chExt cx="6858000" cy="8997696"/>
        </a:xfrm>
        <a:solidFill>
          <a:srgbClr val="FFFFFF"/>
        </a:solidFill>
      </xdr:grpSpPr>
      <xdr:sp>
        <xdr:nvSpPr>
          <xdr:cNvPr id="5" name="AutoShape 25" hidden="1"/>
          <xdr:cNvSpPr>
            <a:spLocks/>
          </xdr:cNvSpPr>
        </xdr:nvSpPr>
        <xdr:spPr>
          <a:xfrm>
            <a:off x="106756200" y="105613200"/>
            <a:ext cx="6858000" cy="89976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6"/>
          <xdr:cNvSpPr>
            <a:spLocks/>
          </xdr:cNvSpPr>
        </xdr:nvSpPr>
        <xdr:spPr>
          <a:xfrm>
            <a:off x="110116620" y="114388203"/>
            <a:ext cx="3497580" cy="222693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7"/>
          <xdr:cNvSpPr>
            <a:spLocks/>
          </xdr:cNvSpPr>
        </xdr:nvSpPr>
        <xdr:spPr>
          <a:xfrm>
            <a:off x="106756200" y="114388203"/>
            <a:ext cx="3429000" cy="222693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8"/>
          <xdr:cNvSpPr>
            <a:spLocks/>
          </xdr:cNvSpPr>
        </xdr:nvSpPr>
        <xdr:spPr>
          <a:xfrm>
            <a:off x="110116620" y="105613200"/>
            <a:ext cx="3497580" cy="222693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9"/>
          <xdr:cNvSpPr>
            <a:spLocks/>
          </xdr:cNvSpPr>
        </xdr:nvSpPr>
        <xdr:spPr>
          <a:xfrm>
            <a:off x="106756200" y="105613200"/>
            <a:ext cx="3429000" cy="222693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0"/>
          <xdr:cNvSpPr>
            <a:spLocks/>
          </xdr:cNvSpPr>
        </xdr:nvSpPr>
        <xdr:spPr>
          <a:xfrm>
            <a:off x="106756200" y="105613200"/>
            <a:ext cx="222885" cy="4663056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1"/>
          <xdr:cNvSpPr>
            <a:spLocks/>
          </xdr:cNvSpPr>
        </xdr:nvSpPr>
        <xdr:spPr>
          <a:xfrm>
            <a:off x="106756200" y="110114297"/>
            <a:ext cx="222885" cy="4496599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2"/>
          <xdr:cNvSpPr>
            <a:spLocks/>
          </xdr:cNvSpPr>
        </xdr:nvSpPr>
        <xdr:spPr>
          <a:xfrm>
            <a:off x="113391315" y="105613200"/>
            <a:ext cx="222885" cy="4663056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3"/>
          <xdr:cNvSpPr>
            <a:spLocks/>
          </xdr:cNvSpPr>
        </xdr:nvSpPr>
        <xdr:spPr>
          <a:xfrm>
            <a:off x="113391315" y="110114297"/>
            <a:ext cx="222885" cy="4496599"/>
          </a:xfrm>
          <a:prstGeom prst="rect">
            <a:avLst/>
          </a:prstGeom>
          <a:pattFill prst="weave">
            <a:fgClr>
              <a:srgbClr val="000000"/>
            </a:fgClr>
            <a:bgClr>
              <a:srgbClr val="FFFFFF"/>
            </a:bgClr>
          </a:patt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eepak\Balance%20Sheet\31.08.05\P&amp;L-Lasser--Au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eepak\Balance%20Sheet\31.08.05\P&amp;L-Lasser--Aug'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eepak\Balance%20Sheet\31.10.05\P&amp;L-Lasser-Oct'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ata%20c\Deepak\Balance%20Sheet\28.02.06\P&amp;L-Lasser-Feb'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ah\Local%20Settings\Temporary%20Internet%20Files\Content.IE5\ULR4HOBI\Lasser-Apr'06'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Desktop\Monthly%20Report--royal--\2008\May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formance"/>
      <sheetName val="Balancesheet"/>
      <sheetName val="BS"/>
      <sheetName val="PL"/>
      <sheetName val="TB"/>
      <sheetName val="Cash Flow-BS"/>
      <sheetName val="TrialBal (2)"/>
      <sheetName val="Cash Flow"/>
      <sheetName val="contribution"/>
      <sheetName val="TrialBal"/>
      <sheetName val="Budget"/>
    </sheetNames>
    <sheetDataSet>
      <sheetData sheetId="4">
        <row r="22">
          <cell r="H22">
            <v>0</v>
          </cell>
        </row>
        <row r="23">
          <cell r="H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formance"/>
      <sheetName val="Balancesheet"/>
      <sheetName val="BS"/>
      <sheetName val="PL"/>
      <sheetName val="TB"/>
      <sheetName val="Cash Flow-BS"/>
      <sheetName val="TrialBal (2)"/>
      <sheetName val="Cash Flow"/>
      <sheetName val="contribution"/>
      <sheetName val="TrialBal"/>
      <sheetName val="Budget"/>
    </sheetNames>
    <sheetDataSet>
      <sheetData sheetId="4">
        <row r="47">
          <cell r="H47">
            <v>0</v>
          </cell>
        </row>
        <row r="80">
          <cell r="H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formance"/>
      <sheetName val="Profit &amp; Loss"/>
      <sheetName val="Balancesheet"/>
      <sheetName val="BS"/>
      <sheetName val="contribution"/>
      <sheetName val="PL"/>
      <sheetName val="PL (2)"/>
      <sheetName val="TB"/>
      <sheetName val="TrialBal-L"/>
      <sheetName val="Cash Flow-BS"/>
      <sheetName val="TrialBal (2)"/>
      <sheetName val="Cash Flow"/>
      <sheetName val="Vatv"/>
      <sheetName val="TrialBal"/>
      <sheetName val="Budget"/>
    </sheetNames>
    <sheetDataSet>
      <sheetData sheetId="6">
        <row r="11">
          <cell r="J11">
            <v>66495967.1</v>
          </cell>
        </row>
        <row r="12">
          <cell r="J12">
            <v>6473872.03</v>
          </cell>
        </row>
        <row r="13">
          <cell r="J13">
            <v>38247347</v>
          </cell>
        </row>
        <row r="15">
          <cell r="J15">
            <v>310760</v>
          </cell>
        </row>
        <row r="16">
          <cell r="J16">
            <v>148759.82</v>
          </cell>
        </row>
        <row r="20">
          <cell r="J20">
            <v>924466</v>
          </cell>
        </row>
        <row r="21">
          <cell r="J21">
            <v>0</v>
          </cell>
        </row>
        <row r="24">
          <cell r="J24">
            <v>0</v>
          </cell>
        </row>
        <row r="30">
          <cell r="J30">
            <v>19500662</v>
          </cell>
        </row>
        <row r="31">
          <cell r="J31">
            <v>0</v>
          </cell>
        </row>
        <row r="32">
          <cell r="J32">
            <v>1432954.4000000001</v>
          </cell>
        </row>
        <row r="35">
          <cell r="J35">
            <v>17767983.2</v>
          </cell>
        </row>
        <row r="36">
          <cell r="J36">
            <v>0</v>
          </cell>
        </row>
        <row r="37">
          <cell r="J37">
            <v>1059694</v>
          </cell>
        </row>
        <row r="45">
          <cell r="J45">
            <v>956933</v>
          </cell>
        </row>
        <row r="46">
          <cell r="J46">
            <v>2799066</v>
          </cell>
        </row>
        <row r="51">
          <cell r="J51">
            <v>14167469</v>
          </cell>
        </row>
        <row r="52">
          <cell r="J52">
            <v>23426377</v>
          </cell>
        </row>
        <row r="53">
          <cell r="J53">
            <v>18076266.05</v>
          </cell>
        </row>
        <row r="57">
          <cell r="J57">
            <v>3845960</v>
          </cell>
        </row>
        <row r="58">
          <cell r="J58">
            <v>1523527</v>
          </cell>
        </row>
        <row r="59">
          <cell r="J59">
            <v>0</v>
          </cell>
        </row>
        <row r="69">
          <cell r="J69">
            <v>7632583</v>
          </cell>
        </row>
        <row r="75">
          <cell r="J75">
            <v>733273.13</v>
          </cell>
        </row>
        <row r="78">
          <cell r="J78">
            <v>56458</v>
          </cell>
        </row>
        <row r="79">
          <cell r="J79">
            <v>2092156</v>
          </cell>
        </row>
        <row r="81">
          <cell r="J81">
            <v>537153.5</v>
          </cell>
        </row>
        <row r="85">
          <cell r="J85">
            <v>2242399</v>
          </cell>
        </row>
        <row r="86">
          <cell r="J86">
            <v>59759</v>
          </cell>
        </row>
        <row r="87">
          <cell r="J87">
            <v>1097658</v>
          </cell>
        </row>
        <row r="90">
          <cell r="J90">
            <v>2031183.5</v>
          </cell>
        </row>
        <row r="91">
          <cell r="J91">
            <v>0</v>
          </cell>
        </row>
        <row r="95">
          <cell r="J95">
            <v>298253</v>
          </cell>
        </row>
        <row r="96">
          <cell r="J96">
            <v>8895</v>
          </cell>
        </row>
        <row r="97">
          <cell r="J97">
            <v>127134</v>
          </cell>
        </row>
        <row r="101">
          <cell r="J101">
            <v>1945983.5</v>
          </cell>
        </row>
        <row r="102">
          <cell r="J102">
            <v>267736.5</v>
          </cell>
        </row>
        <row r="103">
          <cell r="J103">
            <v>30256</v>
          </cell>
        </row>
        <row r="104">
          <cell r="J104">
            <v>86639</v>
          </cell>
        </row>
        <row r="105">
          <cell r="J105">
            <v>0</v>
          </cell>
        </row>
        <row r="106">
          <cell r="J106">
            <v>68329.28</v>
          </cell>
        </row>
        <row r="107">
          <cell r="J107">
            <v>59266</v>
          </cell>
        </row>
        <row r="108">
          <cell r="J108">
            <v>94118</v>
          </cell>
        </row>
        <row r="109">
          <cell r="J109">
            <v>230625</v>
          </cell>
        </row>
        <row r="110">
          <cell r="J110">
            <v>29571</v>
          </cell>
        </row>
        <row r="111">
          <cell r="J111">
            <v>196253</v>
          </cell>
        </row>
        <row r="112">
          <cell r="J112">
            <v>40111</v>
          </cell>
        </row>
        <row r="114">
          <cell r="J114">
            <v>4550000</v>
          </cell>
        </row>
        <row r="115">
          <cell r="J115">
            <v>1183797</v>
          </cell>
        </row>
        <row r="119">
          <cell r="J119">
            <v>161042</v>
          </cell>
        </row>
        <row r="120">
          <cell r="J120">
            <v>0</v>
          </cell>
        </row>
        <row r="121">
          <cell r="J121">
            <v>120663</v>
          </cell>
        </row>
        <row r="124">
          <cell r="J124">
            <v>3426251.5</v>
          </cell>
        </row>
        <row r="128">
          <cell r="J128">
            <v>13468000</v>
          </cell>
        </row>
        <row r="129">
          <cell r="J129">
            <v>131005</v>
          </cell>
        </row>
        <row r="133">
          <cell r="J133">
            <v>6825000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formance"/>
      <sheetName val="Profit &amp; Loss"/>
      <sheetName val="Balancesheet"/>
      <sheetName val="BS"/>
      <sheetName val="contribution"/>
      <sheetName val="PL"/>
      <sheetName val="Variance"/>
      <sheetName val="PL.."/>
      <sheetName val="TB"/>
      <sheetName val="TB-New"/>
      <sheetName val="Cash Flow-BS"/>
      <sheetName val="TBnew"/>
      <sheetName val="TrialBal (2)"/>
      <sheetName val="Cash Flow"/>
      <sheetName val="Exps Detail"/>
      <sheetName val="Collection "/>
      <sheetName val="Vatv"/>
      <sheetName val="TrialBal"/>
      <sheetName val="Budget"/>
    </sheetNames>
    <sheetDataSet>
      <sheetData sheetId="8">
        <row r="61">
          <cell r="J6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erformance"/>
      <sheetName val="Profit &amp; Loss"/>
      <sheetName val="Balancesheet"/>
      <sheetName val="BS"/>
      <sheetName val="Variance"/>
      <sheetName val="Sheet2"/>
      <sheetName val="Sheet1"/>
      <sheetName val="contribution"/>
      <sheetName val="PL"/>
      <sheetName val="PL.."/>
      <sheetName val="TB"/>
      <sheetName val="Stock"/>
      <sheetName val="TB-New"/>
      <sheetName val="Cash Flow-BS"/>
      <sheetName val="TBnew"/>
      <sheetName val="TrialBal (2)"/>
      <sheetName val="Cash Flow"/>
      <sheetName val="Exps Detail"/>
      <sheetName val="Collection "/>
      <sheetName val="Vatv"/>
      <sheetName val="TrialBal"/>
      <sheetName val="Budget"/>
    </sheetNames>
    <sheetDataSet>
      <sheetData sheetId="10">
        <row r="26">
          <cell r="L26">
            <v>7600172.72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son"/>
      <sheetName val="m.d.t"/>
    </sheetNames>
    <sheetDataSet>
      <sheetData sheetId="1">
        <row r="8">
          <cell r="J8">
            <v>509936.391756964</v>
          </cell>
        </row>
        <row r="9">
          <cell r="J9">
            <v>102914.43542731456</v>
          </cell>
        </row>
        <row r="10">
          <cell r="J10">
            <v>229335.02966182175</v>
          </cell>
        </row>
        <row r="11">
          <cell r="J11">
            <v>2827120.0790915233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C11:C15)" TargetMode="External" /><Relationship Id="rId2" Type="http://schemas.openxmlformats.org/officeDocument/2006/relationships/hyperlink" Target="mailto:=@sum(C19:C30)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=@Sum(L37:L39)" TargetMode="External" /><Relationship Id="rId2" Type="http://schemas.openxmlformats.org/officeDocument/2006/relationships/hyperlink" Target="mailto:=@Sum(L37:L39)" TargetMode="External" /><Relationship Id="rId3" Type="http://schemas.openxmlformats.org/officeDocument/2006/relationships/hyperlink" Target="mailto:=@Sum(L37:L39)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8.00390625" style="0" bestFit="1" customWidth="1"/>
  </cols>
  <sheetData>
    <row r="1" spans="2:4" ht="12.75">
      <c r="B1" s="764" t="s">
        <v>24</v>
      </c>
      <c r="C1" s="764"/>
      <c r="D1" s="764"/>
    </row>
    <row r="2" spans="1:3" ht="12.75">
      <c r="A2" s="765"/>
      <c r="B2" s="765"/>
      <c r="C2" s="765"/>
    </row>
    <row r="3" ht="12.75">
      <c r="A3" s="1" t="s">
        <v>120</v>
      </c>
    </row>
    <row r="4" ht="12.75">
      <c r="A4" s="1" t="s">
        <v>121</v>
      </c>
    </row>
    <row r="5" ht="12.75">
      <c r="A5" t="s">
        <v>112</v>
      </c>
    </row>
    <row r="7" ht="12.75">
      <c r="A7" s="6" t="s">
        <v>111</v>
      </c>
    </row>
    <row r="9" spans="1:2" ht="12.75">
      <c r="A9" s="8" t="s">
        <v>103</v>
      </c>
      <c r="B9" s="8" t="s">
        <v>107</v>
      </c>
    </row>
    <row r="10" spans="1:2" ht="12.75">
      <c r="A10" s="7"/>
      <c r="B10" s="7"/>
    </row>
    <row r="11" spans="1:2" ht="12.75">
      <c r="A11" s="7">
        <v>1</v>
      </c>
      <c r="B11" s="7" t="s">
        <v>104</v>
      </c>
    </row>
    <row r="12" spans="1:2" ht="12.75">
      <c r="A12" s="7">
        <v>2</v>
      </c>
      <c r="B12" s="7" t="s">
        <v>105</v>
      </c>
    </row>
    <row r="13" spans="1:2" ht="12.75">
      <c r="A13" s="7">
        <v>3</v>
      </c>
      <c r="B13" s="7" t="s">
        <v>106</v>
      </c>
    </row>
    <row r="14" spans="1:2" ht="12.75">
      <c r="A14" s="7">
        <v>4</v>
      </c>
      <c r="B14" s="7" t="s">
        <v>17</v>
      </c>
    </row>
    <row r="15" spans="1:2" ht="12.75">
      <c r="A15" s="7">
        <v>5</v>
      </c>
      <c r="B15" s="7" t="s">
        <v>119</v>
      </c>
    </row>
    <row r="16" spans="1:2" ht="12.75">
      <c r="A16" s="7">
        <v>6</v>
      </c>
      <c r="B16" s="7" t="s">
        <v>110</v>
      </c>
    </row>
    <row r="17" spans="1:2" ht="12.75">
      <c r="A17" s="7"/>
      <c r="B17" s="7"/>
    </row>
    <row r="18" spans="1:2" ht="12.75">
      <c r="A18" s="7"/>
      <c r="B18" s="7"/>
    </row>
    <row r="19" spans="1:2" ht="12.75">
      <c r="A19" s="15"/>
      <c r="B19" s="15"/>
    </row>
    <row r="20" spans="1:2" ht="12.75">
      <c r="A20" s="15"/>
      <c r="B20" s="15"/>
    </row>
    <row r="21" spans="1:2" ht="12.75">
      <c r="A21" s="15"/>
      <c r="B21" s="15"/>
    </row>
    <row r="22" spans="1:2" ht="12.75">
      <c r="A22" s="15"/>
      <c r="B22" s="15"/>
    </row>
    <row r="26" ht="12.75">
      <c r="A26" s="15" t="s">
        <v>144</v>
      </c>
    </row>
  </sheetData>
  <mergeCells count="2">
    <mergeCell ref="B1:D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41"/>
  <sheetViews>
    <sheetView workbookViewId="0" topLeftCell="A1">
      <selection activeCell="B21" sqref="B21"/>
    </sheetView>
  </sheetViews>
  <sheetFormatPr defaultColWidth="9.140625" defaultRowHeight="12.75"/>
  <cols>
    <col min="1" max="1" width="7.28125" style="512" customWidth="1"/>
    <col min="2" max="2" width="38.140625" style="9" customWidth="1"/>
    <col min="3" max="3" width="5.140625" style="513" customWidth="1"/>
    <col min="4" max="4" width="15.57421875" style="9" customWidth="1"/>
    <col min="5" max="5" width="15.140625" style="9" customWidth="1"/>
    <col min="6" max="6" width="17.57421875" style="9" bestFit="1" customWidth="1"/>
    <col min="7" max="7" width="6.140625" style="9" customWidth="1"/>
    <col min="8" max="8" width="11.7109375" style="9" customWidth="1"/>
    <col min="9" max="11" width="9.140625" style="9" customWidth="1"/>
    <col min="12" max="15" width="0" style="9" hidden="1" customWidth="1"/>
    <col min="16" max="16384" width="9.140625" style="9" customWidth="1"/>
  </cols>
  <sheetData>
    <row r="1" ht="16.5" thickBot="1">
      <c r="C1" s="127"/>
    </row>
    <row r="2" spans="1:6" ht="15.75">
      <c r="A2" s="540"/>
      <c r="B2" s="541" t="s">
        <v>988</v>
      </c>
      <c r="C2" s="542"/>
      <c r="D2" s="541" t="s">
        <v>987</v>
      </c>
      <c r="E2" s="543"/>
      <c r="F2" s="544"/>
    </row>
    <row r="3" spans="1:6" ht="15.75">
      <c r="A3" s="545"/>
      <c r="B3" s="523"/>
      <c r="C3" s="524"/>
      <c r="D3" s="523"/>
      <c r="E3" s="523"/>
      <c r="F3" s="546"/>
    </row>
    <row r="4" spans="1:6" ht="15.75">
      <c r="A4" s="545"/>
      <c r="B4" s="172" t="s">
        <v>883</v>
      </c>
      <c r="C4" s="547"/>
      <c r="D4" s="524"/>
      <c r="E4" s="523"/>
      <c r="F4" s="546"/>
    </row>
    <row r="5" spans="1:6" ht="15.75">
      <c r="A5" s="545"/>
      <c r="B5" s="514" t="s">
        <v>424</v>
      </c>
      <c r="C5" s="514" t="s">
        <v>429</v>
      </c>
      <c r="D5" s="524" t="s">
        <v>431</v>
      </c>
      <c r="E5" s="524" t="s">
        <v>432</v>
      </c>
      <c r="F5" s="546"/>
    </row>
    <row r="6" spans="1:6" ht="16.5" customHeight="1">
      <c r="A6" s="545"/>
      <c r="B6" s="515"/>
      <c r="C6" s="516"/>
      <c r="D6" s="13" t="s">
        <v>34</v>
      </c>
      <c r="E6" s="547"/>
      <c r="F6" s="548"/>
    </row>
    <row r="7" spans="1:6" ht="16.5" customHeight="1">
      <c r="A7" s="549">
        <v>7</v>
      </c>
      <c r="B7" s="515" t="s">
        <v>884</v>
      </c>
      <c r="C7" s="516" t="s">
        <v>885</v>
      </c>
      <c r="D7" s="517">
        <v>52068076</v>
      </c>
      <c r="E7" s="523"/>
      <c r="F7" s="546"/>
    </row>
    <row r="8" spans="1:6" ht="16.5" customHeight="1">
      <c r="A8" s="549">
        <v>8</v>
      </c>
      <c r="B8" s="515" t="s">
        <v>886</v>
      </c>
      <c r="C8" s="516" t="s">
        <v>885</v>
      </c>
      <c r="D8" s="517">
        <v>61325720</v>
      </c>
      <c r="E8" s="547"/>
      <c r="F8" s="546"/>
    </row>
    <row r="9" spans="1:6" ht="16.5" customHeight="1">
      <c r="A9" s="549">
        <v>9</v>
      </c>
      <c r="B9" s="515" t="s">
        <v>887</v>
      </c>
      <c r="C9" s="516" t="s">
        <v>885</v>
      </c>
      <c r="D9" s="518">
        <v>27438730</v>
      </c>
      <c r="E9" s="523"/>
      <c r="F9" s="546"/>
    </row>
    <row r="10" spans="1:6" ht="16.5" customHeight="1">
      <c r="A10" s="549">
        <v>10</v>
      </c>
      <c r="B10" s="515" t="s">
        <v>888</v>
      </c>
      <c r="C10" s="516" t="s">
        <v>889</v>
      </c>
      <c r="D10" s="519">
        <f>D8/D7*100</f>
        <v>117.77988493371639</v>
      </c>
      <c r="E10" s="550" t="s">
        <v>890</v>
      </c>
      <c r="F10" s="546"/>
    </row>
    <row r="11" spans="1:6" ht="16.5" customHeight="1">
      <c r="A11" s="549">
        <v>11</v>
      </c>
      <c r="B11" s="515" t="s">
        <v>891</v>
      </c>
      <c r="C11" s="516" t="s">
        <v>889</v>
      </c>
      <c r="D11" s="519">
        <f>+D9/D7*100</f>
        <v>52.69779893537837</v>
      </c>
      <c r="E11" s="550" t="s">
        <v>892</v>
      </c>
      <c r="F11" s="546"/>
    </row>
    <row r="12" spans="1:6" ht="16.5" customHeight="1">
      <c r="A12" s="549">
        <v>12</v>
      </c>
      <c r="B12" s="515" t="s">
        <v>893</v>
      </c>
      <c r="C12" s="516" t="s">
        <v>894</v>
      </c>
      <c r="D12" s="520">
        <f>26*6000*3*19</f>
        <v>8892000</v>
      </c>
      <c r="E12" s="551">
        <f>+D12-D13</f>
        <v>6310664</v>
      </c>
      <c r="F12" s="552" t="s">
        <v>895</v>
      </c>
    </row>
    <row r="13" spans="1:6" ht="16.5" customHeight="1">
      <c r="A13" s="549">
        <v>13</v>
      </c>
      <c r="B13" s="515" t="s">
        <v>896</v>
      </c>
      <c r="C13" s="516" t="s">
        <v>894</v>
      </c>
      <c r="D13" s="518">
        <v>2581336</v>
      </c>
      <c r="E13" s="523"/>
      <c r="F13" s="546"/>
    </row>
    <row r="14" spans="1:6" ht="16.5" customHeight="1">
      <c r="A14" s="549">
        <v>14</v>
      </c>
      <c r="B14" s="515" t="s">
        <v>897</v>
      </c>
      <c r="C14" s="516" t="s">
        <v>894</v>
      </c>
      <c r="D14" s="521">
        <v>10.28</v>
      </c>
      <c r="E14" s="553">
        <f>+D9*14.5/1000*D14</f>
        <v>4090017.0938</v>
      </c>
      <c r="F14" s="552" t="s">
        <v>978</v>
      </c>
    </row>
    <row r="15" spans="1:6" ht="16.5" customHeight="1">
      <c r="A15" s="549">
        <v>15</v>
      </c>
      <c r="B15" s="515" t="s">
        <v>979</v>
      </c>
      <c r="C15" s="516" t="s">
        <v>894</v>
      </c>
      <c r="D15" s="521">
        <f>(+D13/D9*1000/14.5)</f>
        <v>6.488025226159998</v>
      </c>
      <c r="E15" s="553">
        <f>+E14-D13</f>
        <v>1508681.0938</v>
      </c>
      <c r="F15" s="552" t="s">
        <v>898</v>
      </c>
    </row>
    <row r="16" spans="1:11" ht="16.5" customHeight="1">
      <c r="A16" s="549">
        <v>16</v>
      </c>
      <c r="B16" s="523"/>
      <c r="C16" s="524"/>
      <c r="D16" s="525"/>
      <c r="E16" s="525"/>
      <c r="F16" s="554"/>
      <c r="G16" s="522"/>
      <c r="H16" s="522"/>
      <c r="I16" s="522"/>
      <c r="J16" s="522"/>
      <c r="K16" s="522"/>
    </row>
    <row r="17" spans="1:6" ht="16.5" customHeight="1">
      <c r="A17" s="549">
        <v>17</v>
      </c>
      <c r="B17" s="514"/>
      <c r="C17" s="514"/>
      <c r="D17" s="524"/>
      <c r="E17" s="523"/>
      <c r="F17" s="546"/>
    </row>
    <row r="18" spans="1:15" ht="16.5" customHeight="1">
      <c r="A18" s="549">
        <v>18</v>
      </c>
      <c r="B18" s="8" t="s">
        <v>899</v>
      </c>
      <c r="C18" s="13"/>
      <c r="D18" s="515"/>
      <c r="E18" s="523"/>
      <c r="F18" s="546"/>
      <c r="L18" s="9" t="s">
        <v>900</v>
      </c>
      <c r="O18" s="9" t="s">
        <v>901</v>
      </c>
    </row>
    <row r="19" spans="1:18" ht="16.5" customHeight="1">
      <c r="A19" s="549">
        <v>19</v>
      </c>
      <c r="B19" s="515" t="s">
        <v>902</v>
      </c>
      <c r="C19" s="516" t="s">
        <v>894</v>
      </c>
      <c r="D19" s="526">
        <f>+D14</f>
        <v>10.28</v>
      </c>
      <c r="E19" s="550" t="s">
        <v>903</v>
      </c>
      <c r="F19" s="546"/>
      <c r="L19" s="9">
        <v>400</v>
      </c>
      <c r="M19" s="9">
        <v>14.5</v>
      </c>
      <c r="N19" s="9">
        <v>5800</v>
      </c>
      <c r="P19" s="527"/>
      <c r="R19" s="528"/>
    </row>
    <row r="20" spans="1:18" ht="16.5" customHeight="1">
      <c r="A20" s="549">
        <v>20</v>
      </c>
      <c r="B20" s="515" t="s">
        <v>904</v>
      </c>
      <c r="C20" s="516" t="s">
        <v>894</v>
      </c>
      <c r="D20" s="526">
        <f>+D15</f>
        <v>6.488025226159998</v>
      </c>
      <c r="E20" s="550" t="s">
        <v>905</v>
      </c>
      <c r="F20" s="546"/>
      <c r="L20" s="9">
        <v>260</v>
      </c>
      <c r="M20" s="9">
        <v>20.36</v>
      </c>
      <c r="N20" s="9">
        <v>5293.6</v>
      </c>
      <c r="P20" s="527"/>
      <c r="R20" s="528"/>
    </row>
    <row r="21" spans="1:19" ht="16.5" customHeight="1">
      <c r="A21" s="549">
        <v>21</v>
      </c>
      <c r="B21" s="8" t="s">
        <v>980</v>
      </c>
      <c r="C21" s="516" t="s">
        <v>894</v>
      </c>
      <c r="D21" s="529">
        <f>D20-D19</f>
        <v>-3.7919747738400016</v>
      </c>
      <c r="E21" s="550" t="s">
        <v>906</v>
      </c>
      <c r="F21" s="546"/>
      <c r="L21" s="530">
        <f>SUM(L19:L20)</f>
        <v>660</v>
      </c>
      <c r="M21" s="530">
        <f>SUM(M19:M20)</f>
        <v>34.86</v>
      </c>
      <c r="N21" s="528">
        <f>SUM(N19:N20)</f>
        <v>11093.6</v>
      </c>
      <c r="O21" s="531">
        <f>+N21/L21</f>
        <v>16.80848484848485</v>
      </c>
      <c r="P21" s="530"/>
      <c r="Q21" s="530"/>
      <c r="R21" s="528"/>
      <c r="S21" s="531"/>
    </row>
    <row r="22" spans="1:6" ht="16.5" customHeight="1">
      <c r="A22" s="549">
        <v>22</v>
      </c>
      <c r="B22" s="8" t="s">
        <v>981</v>
      </c>
      <c r="C22" s="13" t="s">
        <v>894</v>
      </c>
      <c r="D22" s="532">
        <f>D9*14.5/1000*D21</f>
        <v>-1508681.0937999997</v>
      </c>
      <c r="E22" s="533" t="s">
        <v>907</v>
      </c>
      <c r="F22" s="546"/>
    </row>
    <row r="23" spans="1:6" ht="16.5" customHeight="1">
      <c r="A23" s="549">
        <v>23</v>
      </c>
      <c r="B23" s="515"/>
      <c r="C23" s="516"/>
      <c r="D23" s="534"/>
      <c r="E23" s="523"/>
      <c r="F23" s="546"/>
    </row>
    <row r="24" spans="1:6" ht="16.5" customHeight="1">
      <c r="A24" s="549">
        <v>24</v>
      </c>
      <c r="B24" s="515" t="s">
        <v>886</v>
      </c>
      <c r="C24" s="516" t="s">
        <v>885</v>
      </c>
      <c r="D24" s="534">
        <f>+D8</f>
        <v>61325720</v>
      </c>
      <c r="E24" s="523"/>
      <c r="F24" s="546"/>
    </row>
    <row r="25" spans="1:6" ht="16.5" customHeight="1">
      <c r="A25" s="549">
        <v>25</v>
      </c>
      <c r="B25" s="515" t="s">
        <v>887</v>
      </c>
      <c r="C25" s="516" t="s">
        <v>885</v>
      </c>
      <c r="D25" s="534">
        <f>+D9</f>
        <v>27438730</v>
      </c>
      <c r="E25" s="523"/>
      <c r="F25" s="546"/>
    </row>
    <row r="26" spans="1:6" ht="16.5" customHeight="1">
      <c r="A26" s="549">
        <v>26</v>
      </c>
      <c r="B26" s="535" t="s">
        <v>908</v>
      </c>
      <c r="C26" s="76" t="s">
        <v>885</v>
      </c>
      <c r="D26" s="536">
        <f>+D24-D25</f>
        <v>33886990</v>
      </c>
      <c r="E26" s="555" t="s">
        <v>909</v>
      </c>
      <c r="F26" s="546"/>
    </row>
    <row r="27" spans="1:6" ht="16.5" customHeight="1">
      <c r="A27" s="549">
        <v>27</v>
      </c>
      <c r="B27" s="8" t="s">
        <v>982</v>
      </c>
      <c r="C27" s="13" t="s">
        <v>894</v>
      </c>
      <c r="D27" s="536">
        <f>(D26*14.5/1000)*10.28</f>
        <v>5051194.7294</v>
      </c>
      <c r="E27" s="550" t="s">
        <v>910</v>
      </c>
      <c r="F27" s="546"/>
    </row>
    <row r="28" spans="1:6" ht="16.5" customHeight="1">
      <c r="A28" s="549">
        <v>28</v>
      </c>
      <c r="B28" s="515"/>
      <c r="C28" s="516"/>
      <c r="D28" s="537"/>
      <c r="E28" s="553"/>
      <c r="F28" s="546"/>
    </row>
    <row r="29" spans="1:6" ht="16.5" customHeight="1">
      <c r="A29" s="549">
        <v>29</v>
      </c>
      <c r="B29" s="8" t="s">
        <v>911</v>
      </c>
      <c r="C29" s="13"/>
      <c r="D29" s="537"/>
      <c r="E29" s="553"/>
      <c r="F29" s="546"/>
    </row>
    <row r="30" spans="1:6" ht="16.5" customHeight="1">
      <c r="A30" s="549">
        <v>30</v>
      </c>
      <c r="B30" s="515"/>
      <c r="C30" s="516"/>
      <c r="D30" s="537"/>
      <c r="E30" s="553"/>
      <c r="F30" s="546"/>
    </row>
    <row r="31" spans="1:6" ht="16.5" customHeight="1">
      <c r="A31" s="549">
        <v>31</v>
      </c>
      <c r="B31" s="515" t="s">
        <v>912</v>
      </c>
      <c r="C31" s="516" t="s">
        <v>894</v>
      </c>
      <c r="D31" s="538">
        <f>'[6]m.d.t'!J8</f>
        <v>509936.391756964</v>
      </c>
      <c r="E31" s="553"/>
      <c r="F31" s="546"/>
    </row>
    <row r="32" spans="1:6" ht="16.5" customHeight="1">
      <c r="A32" s="549">
        <v>32</v>
      </c>
      <c r="B32" s="515" t="s">
        <v>913</v>
      </c>
      <c r="C32" s="516" t="s">
        <v>894</v>
      </c>
      <c r="D32" s="538">
        <f>'[6]m.d.t'!J9</f>
        <v>102914.43542731456</v>
      </c>
      <c r="E32" s="553"/>
      <c r="F32" s="546"/>
    </row>
    <row r="33" spans="1:6" ht="16.5" customHeight="1">
      <c r="A33" s="549">
        <v>33</v>
      </c>
      <c r="B33" s="515" t="s">
        <v>914</v>
      </c>
      <c r="C33" s="516" t="s">
        <v>894</v>
      </c>
      <c r="D33" s="538">
        <f>'[6]m.d.t'!J10</f>
        <v>229335.02966182175</v>
      </c>
      <c r="E33" s="553"/>
      <c r="F33" s="546"/>
    </row>
    <row r="34" spans="1:6" ht="16.5" customHeight="1">
      <c r="A34" s="549">
        <v>34</v>
      </c>
      <c r="B34" s="515" t="s">
        <v>811</v>
      </c>
      <c r="C34" s="516" t="s">
        <v>894</v>
      </c>
      <c r="D34" s="538">
        <f>'[6]m.d.t'!J11</f>
        <v>2827120.0790915233</v>
      </c>
      <c r="E34" s="553"/>
      <c r="F34" s="546"/>
    </row>
    <row r="35" spans="1:6" ht="16.5" customHeight="1">
      <c r="A35" s="549">
        <v>35</v>
      </c>
      <c r="B35" s="8" t="s">
        <v>34</v>
      </c>
      <c r="C35" s="516" t="s">
        <v>894</v>
      </c>
      <c r="D35" s="204">
        <f>SUM(D31:D34)</f>
        <v>3669305.9359376235</v>
      </c>
      <c r="E35" s="553"/>
      <c r="F35" s="546"/>
    </row>
    <row r="36" spans="1:6" ht="16.5" customHeight="1">
      <c r="A36" s="549"/>
      <c r="B36" s="8"/>
      <c r="C36" s="516"/>
      <c r="D36" s="537"/>
      <c r="E36" s="553"/>
      <c r="F36" s="546"/>
    </row>
    <row r="37" spans="1:6" ht="16.5" customHeight="1">
      <c r="A37" s="549">
        <v>37</v>
      </c>
      <c r="B37" s="8" t="s">
        <v>983</v>
      </c>
      <c r="C37" s="516" t="s">
        <v>894</v>
      </c>
      <c r="D37" s="204">
        <f>+D27+D35</f>
        <v>8720500.665337622</v>
      </c>
      <c r="E37" s="556" t="s">
        <v>984</v>
      </c>
      <c r="F37" s="546"/>
    </row>
    <row r="38" spans="1:6" ht="20.25" customHeight="1">
      <c r="A38" s="549">
        <v>38</v>
      </c>
      <c r="B38" s="8" t="s">
        <v>985</v>
      </c>
      <c r="C38" s="516" t="s">
        <v>894</v>
      </c>
      <c r="D38" s="204">
        <f>+D22-D37</f>
        <v>-10229181.759137621</v>
      </c>
      <c r="E38" s="555" t="s">
        <v>986</v>
      </c>
      <c r="F38" s="546"/>
    </row>
    <row r="39" spans="1:6" ht="15.75">
      <c r="A39" s="545"/>
      <c r="B39" s="523"/>
      <c r="C39" s="524"/>
      <c r="D39" s="523"/>
      <c r="E39" s="523"/>
      <c r="F39" s="546"/>
    </row>
    <row r="40" spans="1:6" ht="15.75">
      <c r="A40" s="545"/>
      <c r="B40" s="523" t="s">
        <v>915</v>
      </c>
      <c r="C40" s="524"/>
      <c r="D40" s="523"/>
      <c r="E40" s="523"/>
      <c r="F40" s="546"/>
    </row>
    <row r="41" spans="1:6" ht="16.5" thickBot="1">
      <c r="A41" s="557"/>
      <c r="B41" s="558"/>
      <c r="C41" s="559"/>
      <c r="D41" s="560"/>
      <c r="E41" s="560"/>
      <c r="F41" s="561"/>
    </row>
  </sheetData>
  <printOptions/>
  <pageMargins left="0.47" right="0.42" top="0.86" bottom="1" header="0.5" footer="0.5"/>
  <pageSetup fitToHeight="1" fitToWidth="1" horizontalDpi="300" verticalDpi="300" orientation="portrait" scale="99" r:id="rId1"/>
  <headerFooter alignWithMargins="0">
    <oddHeader>&amp;L&amp;16MIS-3&amp;R&amp;16May 2008</oddHeader>
    <oddFooter>&amp;C&amp;16Company Name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E56"/>
  <sheetViews>
    <sheetView zoomScale="85" zoomScaleNormal="85" workbookViewId="0" topLeftCell="B1">
      <selection activeCell="C36" sqref="C36"/>
    </sheetView>
  </sheetViews>
  <sheetFormatPr defaultColWidth="9.140625" defaultRowHeight="12.75"/>
  <cols>
    <col min="1" max="1" width="0" style="211" hidden="1" customWidth="1"/>
    <col min="2" max="2" width="83.28125" style="211" customWidth="1"/>
    <col min="3" max="3" width="19.421875" style="211" bestFit="1" customWidth="1"/>
    <col min="4" max="4" width="17.140625" style="211" bestFit="1" customWidth="1"/>
    <col min="5" max="5" width="16.00390625" style="211" bestFit="1" customWidth="1"/>
    <col min="6" max="6" width="19.57421875" style="211" bestFit="1" customWidth="1"/>
    <col min="7" max="16384" width="9.140625" style="211" customWidth="1"/>
  </cols>
  <sheetData>
    <row r="1" spans="2:3" ht="22.5" customHeight="1">
      <c r="B1" s="818" t="s">
        <v>1024</v>
      </c>
      <c r="C1" s="819"/>
    </row>
    <row r="2" spans="2:3" ht="18">
      <c r="B2" s="820"/>
      <c r="C2" s="821"/>
    </row>
    <row r="3" spans="2:3" ht="25.5">
      <c r="B3" s="816" t="s">
        <v>178</v>
      </c>
      <c r="C3" s="817"/>
    </row>
    <row r="4" spans="2:3" ht="20.25">
      <c r="B4" s="269"/>
      <c r="C4" s="270"/>
    </row>
    <row r="5" spans="2:3" ht="18">
      <c r="B5" s="271" t="s">
        <v>850</v>
      </c>
      <c r="C5" s="272" t="s">
        <v>778</v>
      </c>
    </row>
    <row r="6" spans="2:5" ht="20.25">
      <c r="B6" s="273" t="s">
        <v>728</v>
      </c>
      <c r="C6" s="274">
        <v>0</v>
      </c>
      <c r="D6" s="288"/>
      <c r="E6" s="288"/>
    </row>
    <row r="7" spans="2:3" ht="18">
      <c r="B7" s="275"/>
      <c r="C7" s="276"/>
    </row>
    <row r="8" spans="2:4" ht="20.25">
      <c r="B8" s="275" t="s">
        <v>852</v>
      </c>
      <c r="C8" s="274">
        <v>0</v>
      </c>
      <c r="D8" s="288"/>
    </row>
    <row r="9" spans="2:3" ht="18">
      <c r="B9" s="275"/>
      <c r="C9" s="276"/>
    </row>
    <row r="10" spans="2:3" ht="18">
      <c r="B10" s="277" t="s">
        <v>779</v>
      </c>
      <c r="C10" s="276"/>
    </row>
    <row r="11" spans="2:3" ht="18">
      <c r="B11" s="275" t="s">
        <v>1035</v>
      </c>
      <c r="C11" s="276">
        <v>0</v>
      </c>
    </row>
    <row r="12" spans="2:3" ht="18">
      <c r="B12" s="275" t="s">
        <v>1036</v>
      </c>
      <c r="C12" s="276">
        <v>0</v>
      </c>
    </row>
    <row r="13" spans="2:3" ht="18">
      <c r="B13" s="275" t="s">
        <v>1037</v>
      </c>
      <c r="C13" s="276">
        <v>0</v>
      </c>
    </row>
    <row r="14" spans="2:3" ht="18">
      <c r="B14" s="275" t="s">
        <v>1038</v>
      </c>
      <c r="C14" s="276">
        <v>0</v>
      </c>
    </row>
    <row r="15" spans="2:3" ht="18">
      <c r="B15" s="275" t="s">
        <v>857</v>
      </c>
      <c r="C15" s="276">
        <v>0</v>
      </c>
    </row>
    <row r="16" spans="2:3" ht="18">
      <c r="B16" s="275" t="s">
        <v>780</v>
      </c>
      <c r="C16" s="276">
        <v>0</v>
      </c>
    </row>
    <row r="17" spans="2:5" ht="20.25">
      <c r="B17" s="219" t="s">
        <v>34</v>
      </c>
      <c r="C17" s="220">
        <f>SUM(C6:C16)</f>
        <v>0</v>
      </c>
      <c r="D17" s="288"/>
      <c r="E17" s="288"/>
    </row>
    <row r="18" spans="2:5" ht="20.25">
      <c r="B18" s="278"/>
      <c r="C18" s="279"/>
      <c r="E18" s="288"/>
    </row>
    <row r="19" spans="2:3" ht="18">
      <c r="B19" s="271" t="s">
        <v>851</v>
      </c>
      <c r="C19" s="276"/>
    </row>
    <row r="20" spans="2:3" ht="18">
      <c r="B20" s="275" t="s">
        <v>801</v>
      </c>
      <c r="C20" s="276">
        <v>0</v>
      </c>
    </row>
    <row r="21" spans="2:3" ht="18">
      <c r="B21" s="275" t="s">
        <v>813</v>
      </c>
      <c r="C21" s="276">
        <v>0</v>
      </c>
    </row>
    <row r="22" spans="2:3" ht="18">
      <c r="B22" s="275" t="s">
        <v>814</v>
      </c>
      <c r="C22" s="276">
        <v>0</v>
      </c>
    </row>
    <row r="23" spans="2:3" ht="18">
      <c r="B23" s="275" t="s">
        <v>569</v>
      </c>
      <c r="C23" s="276">
        <v>0</v>
      </c>
    </row>
    <row r="24" spans="2:4" ht="18">
      <c r="B24" s="275" t="s">
        <v>184</v>
      </c>
      <c r="C24" s="276">
        <v>0</v>
      </c>
      <c r="D24" s="288"/>
    </row>
    <row r="25" spans="2:3" ht="18">
      <c r="B25" s="275" t="s">
        <v>86</v>
      </c>
      <c r="C25" s="276">
        <v>0</v>
      </c>
    </row>
    <row r="26" spans="2:3" ht="18">
      <c r="B26" s="275" t="s">
        <v>781</v>
      </c>
      <c r="C26" s="276">
        <v>0</v>
      </c>
    </row>
    <row r="27" spans="2:4" ht="18">
      <c r="B27" s="275" t="s">
        <v>782</v>
      </c>
      <c r="C27" s="276">
        <v>0</v>
      </c>
      <c r="D27" s="288"/>
    </row>
    <row r="28" spans="2:3" ht="18">
      <c r="B28" s="275" t="s">
        <v>783</v>
      </c>
      <c r="C28" s="276">
        <v>0</v>
      </c>
    </row>
    <row r="29" spans="2:4" ht="18">
      <c r="B29" s="275" t="s">
        <v>802</v>
      </c>
      <c r="C29" s="276">
        <v>0</v>
      </c>
      <c r="D29" s="288"/>
    </row>
    <row r="30" spans="2:5" ht="18">
      <c r="B30" s="275" t="s">
        <v>829</v>
      </c>
      <c r="C30" s="276">
        <v>0</v>
      </c>
      <c r="E30" s="288"/>
    </row>
    <row r="31" spans="2:3" ht="18">
      <c r="B31" s="275" t="s">
        <v>864</v>
      </c>
      <c r="C31" s="276">
        <v>0</v>
      </c>
    </row>
    <row r="32" spans="2:3" ht="18">
      <c r="B32" s="275" t="s">
        <v>326</v>
      </c>
      <c r="C32" s="276">
        <v>0</v>
      </c>
    </row>
    <row r="33" spans="2:3" ht="18">
      <c r="B33" s="275" t="s">
        <v>817</v>
      </c>
      <c r="C33" s="276">
        <v>0</v>
      </c>
    </row>
    <row r="34" spans="2:5" ht="18">
      <c r="B34" s="275" t="s">
        <v>812</v>
      </c>
      <c r="C34" s="276">
        <v>0</v>
      </c>
      <c r="E34" s="288"/>
    </row>
    <row r="35" spans="2:3" ht="20.25">
      <c r="B35" s="273" t="s">
        <v>101</v>
      </c>
      <c r="C35" s="280">
        <f>C43</f>
        <v>0</v>
      </c>
    </row>
    <row r="36" spans="2:3" ht="20.25">
      <c r="B36" s="273"/>
      <c r="C36" s="280"/>
    </row>
    <row r="37" spans="2:5" ht="20.25">
      <c r="B37" s="219" t="s">
        <v>34</v>
      </c>
      <c r="C37" s="220">
        <f>SUM(C20:C35)</f>
        <v>0</v>
      </c>
      <c r="D37" s="288"/>
      <c r="E37" s="288"/>
    </row>
    <row r="38" spans="2:3" ht="18.75" thickBot="1">
      <c r="B38" s="289"/>
      <c r="C38" s="290"/>
    </row>
    <row r="39" spans="2:3" ht="20.25">
      <c r="B39" s="222" t="s">
        <v>834</v>
      </c>
      <c r="C39" s="291"/>
    </row>
    <row r="40" spans="2:3" ht="20.25">
      <c r="B40" s="223"/>
      <c r="C40" s="292"/>
    </row>
    <row r="41" spans="2:3" ht="20.25">
      <c r="B41" s="223" t="s">
        <v>854</v>
      </c>
      <c r="C41" s="292">
        <v>0</v>
      </c>
    </row>
    <row r="42" spans="2:3" ht="20.25">
      <c r="B42" s="223" t="s">
        <v>873</v>
      </c>
      <c r="C42" s="292">
        <v>0</v>
      </c>
    </row>
    <row r="43" spans="2:4" ht="21" thickBot="1">
      <c r="B43" s="224" t="s">
        <v>835</v>
      </c>
      <c r="C43" s="221">
        <f>SUM(C40:C42)</f>
        <v>0</v>
      </c>
      <c r="D43" s="288"/>
    </row>
    <row r="44" spans="2:3" ht="18">
      <c r="B44" s="216"/>
      <c r="C44" s="218"/>
    </row>
    <row r="45" spans="2:3" ht="18">
      <c r="B45" s="217"/>
      <c r="C45" s="218"/>
    </row>
    <row r="46" spans="2:3" ht="18">
      <c r="B46" s="216"/>
      <c r="C46" s="218"/>
    </row>
    <row r="47" spans="2:3" ht="18">
      <c r="B47" s="217"/>
      <c r="C47" s="218"/>
    </row>
    <row r="48" spans="2:3" ht="18">
      <c r="B48" s="216"/>
      <c r="C48" s="218"/>
    </row>
    <row r="49" spans="2:3" ht="18">
      <c r="B49" s="217"/>
      <c r="C49" s="218"/>
    </row>
    <row r="50" spans="2:3" ht="18">
      <c r="B50" s="217"/>
      <c r="C50" s="218"/>
    </row>
    <row r="51" spans="2:3" ht="18">
      <c r="B51" s="217"/>
      <c r="C51" s="218"/>
    </row>
    <row r="52" spans="2:3" ht="18">
      <c r="B52" s="217"/>
      <c r="C52" s="218"/>
    </row>
    <row r="53" spans="2:3" ht="18">
      <c r="B53" s="217"/>
      <c r="C53" s="218"/>
    </row>
    <row r="54" spans="2:3" ht="18">
      <c r="B54" s="217"/>
      <c r="C54" s="218"/>
    </row>
    <row r="55" ht="18">
      <c r="C55" s="225"/>
    </row>
    <row r="56" ht="18">
      <c r="C56" s="225"/>
    </row>
  </sheetData>
  <mergeCells count="2">
    <mergeCell ref="B3:C3"/>
    <mergeCell ref="B1:C2"/>
  </mergeCells>
  <hyperlinks>
    <hyperlink ref="C17" r:id="rId1" display="=@sum(C11:C15)"/>
    <hyperlink ref="C37" r:id="rId2" display="=@sum(C19:C30)"/>
  </hyperlinks>
  <printOptions/>
  <pageMargins left="0.89" right="0.75" top="1" bottom="1.16" header="0.71" footer="0.72"/>
  <pageSetup horizontalDpi="300" verticalDpi="300" orientation="portrait" scale="80" r:id="rId3"/>
  <headerFooter alignWithMargins="0">
    <oddHeader>&amp;L&amp;16MIS-4&amp;R&amp;16May 2008</oddHeader>
    <oddFooter>&amp;C&amp;16Company Name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E25"/>
  <sheetViews>
    <sheetView tabSelected="1" zoomScale="85" zoomScaleNormal="85" workbookViewId="0" topLeftCell="A1">
      <selection activeCell="B11" sqref="B11"/>
    </sheetView>
  </sheetViews>
  <sheetFormatPr defaultColWidth="9.140625" defaultRowHeight="12.75"/>
  <cols>
    <col min="1" max="1" width="9.140625" style="441" customWidth="1"/>
    <col min="2" max="2" width="49.140625" style="441" bestFit="1" customWidth="1"/>
    <col min="3" max="3" width="21.421875" style="441" bestFit="1" customWidth="1"/>
    <col min="4" max="4" width="41.421875" style="441" bestFit="1" customWidth="1"/>
    <col min="5" max="5" width="19.140625" style="441" bestFit="1" customWidth="1"/>
    <col min="6" max="8" width="9.140625" style="441" customWidth="1"/>
    <col min="9" max="10" width="10.57421875" style="441" bestFit="1" customWidth="1"/>
    <col min="11" max="11" width="9.140625" style="441" customWidth="1"/>
    <col min="12" max="12" width="10.421875" style="441" customWidth="1"/>
    <col min="13" max="16384" width="9.140625" style="441" customWidth="1"/>
  </cols>
  <sheetData>
    <row r="1" spans="2:5" ht="18">
      <c r="B1" s="440"/>
      <c r="C1" s="440"/>
      <c r="D1" s="440"/>
      <c r="E1" s="440"/>
    </row>
    <row r="2" spans="2:5" ht="18">
      <c r="B2" s="822" t="s">
        <v>916</v>
      </c>
      <c r="C2" s="822"/>
      <c r="D2" s="822"/>
      <c r="E2" s="822"/>
    </row>
    <row r="3" spans="2:5" ht="18">
      <c r="B3" s="822" t="s">
        <v>921</v>
      </c>
      <c r="C3" s="822"/>
      <c r="D3" s="822"/>
      <c r="E3" s="822"/>
    </row>
    <row r="4" ht="18.75" thickBot="1"/>
    <row r="5" spans="2:5" ht="18.75" thickTop="1">
      <c r="B5" s="823" t="s">
        <v>917</v>
      </c>
      <c r="C5" s="618" t="s">
        <v>3</v>
      </c>
      <c r="D5" s="823" t="s">
        <v>918</v>
      </c>
      <c r="E5" s="618" t="s">
        <v>3</v>
      </c>
    </row>
    <row r="6" spans="2:5" ht="18.75" thickBot="1">
      <c r="B6" s="824"/>
      <c r="C6" s="619" t="s">
        <v>466</v>
      </c>
      <c r="D6" s="824"/>
      <c r="E6" s="619" t="s">
        <v>466</v>
      </c>
    </row>
    <row r="7" spans="2:5" ht="18.75" thickTop="1">
      <c r="B7" s="620"/>
      <c r="C7" s="616"/>
      <c r="D7" s="620"/>
      <c r="E7" s="614"/>
    </row>
    <row r="8" spans="2:5" ht="18">
      <c r="B8" s="621" t="s">
        <v>919</v>
      </c>
      <c r="C8" s="617">
        <f>+'P &amp; L '!E117</f>
        <v>0</v>
      </c>
      <c r="D8" s="621" t="s">
        <v>920</v>
      </c>
      <c r="E8" s="615">
        <v>1</v>
      </c>
    </row>
    <row r="9" spans="2:5" ht="18">
      <c r="B9" s="621"/>
      <c r="C9" s="617"/>
      <c r="D9" s="622"/>
      <c r="E9" s="615"/>
    </row>
    <row r="10" spans="2:5" ht="18">
      <c r="B10" s="621" t="s">
        <v>1016</v>
      </c>
      <c r="C10" s="617">
        <v>6</v>
      </c>
      <c r="D10" s="629" t="s">
        <v>82</v>
      </c>
      <c r="E10" s="615">
        <v>1</v>
      </c>
    </row>
    <row r="11" spans="2:5" ht="18">
      <c r="B11" s="621"/>
      <c r="C11" s="617"/>
      <c r="D11" s="629"/>
      <c r="E11" s="615"/>
    </row>
    <row r="12" spans="2:5" ht="18">
      <c r="B12" s="621"/>
      <c r="C12" s="617"/>
      <c r="D12" s="441" t="s">
        <v>1011</v>
      </c>
      <c r="E12" s="615">
        <v>1</v>
      </c>
    </row>
    <row r="13" spans="2:5" ht="18">
      <c r="B13" s="621"/>
      <c r="C13" s="617"/>
      <c r="D13" s="621"/>
      <c r="E13" s="615"/>
    </row>
    <row r="14" spans="2:5" ht="18">
      <c r="B14" s="621"/>
      <c r="C14" s="617"/>
      <c r="D14" s="621" t="s">
        <v>1012</v>
      </c>
      <c r="E14" s="615">
        <v>1</v>
      </c>
    </row>
    <row r="15" spans="2:5" ht="18">
      <c r="B15" s="621"/>
      <c r="C15" s="617"/>
      <c r="D15" s="621"/>
      <c r="E15" s="615"/>
    </row>
    <row r="16" spans="2:5" ht="18">
      <c r="B16" s="621"/>
      <c r="C16" s="617"/>
      <c r="D16" s="621" t="s">
        <v>1013</v>
      </c>
      <c r="E16" s="615">
        <v>1</v>
      </c>
    </row>
    <row r="17" spans="2:5" ht="18">
      <c r="B17" s="621"/>
      <c r="C17" s="617"/>
      <c r="D17" s="621"/>
      <c r="E17" s="615"/>
    </row>
    <row r="18" spans="2:5" ht="18">
      <c r="B18" s="621"/>
      <c r="C18" s="617"/>
      <c r="D18" s="621" t="s">
        <v>1014</v>
      </c>
      <c r="E18" s="615">
        <v>1</v>
      </c>
    </row>
    <row r="19" spans="2:5" ht="18.75" thickBot="1">
      <c r="B19" s="621"/>
      <c r="C19" s="617"/>
      <c r="D19" s="621"/>
      <c r="E19" s="615"/>
    </row>
    <row r="20" spans="2:5" ht="24.75" thickBot="1" thickTop="1">
      <c r="B20" s="613" t="s">
        <v>34</v>
      </c>
      <c r="C20" s="623">
        <f>SUM(C7:C19)</f>
        <v>6</v>
      </c>
      <c r="D20" s="613" t="s">
        <v>34</v>
      </c>
      <c r="E20" s="623">
        <f>SUM(E7:E19)</f>
        <v>6</v>
      </c>
    </row>
    <row r="21" ht="18.75" thickTop="1"/>
    <row r="22" ht="18">
      <c r="C22" s="442"/>
    </row>
    <row r="23" ht="18">
      <c r="C23" s="442"/>
    </row>
    <row r="25" spans="3:4" ht="18">
      <c r="C25" s="443"/>
      <c r="D25" s="442"/>
    </row>
  </sheetData>
  <mergeCells count="4">
    <mergeCell ref="B2:E2"/>
    <mergeCell ref="B3:E3"/>
    <mergeCell ref="B5:B6"/>
    <mergeCell ref="D5:D6"/>
  </mergeCells>
  <printOptions/>
  <pageMargins left="0.75" right="0.75" top="1" bottom="1" header="0.5" footer="0.5"/>
  <pageSetup fitToHeight="1" fitToWidth="1" horizontalDpi="300" verticalDpi="300" orientation="landscape" scale="88" r:id="rId1"/>
  <headerFooter alignWithMargins="0">
    <oddHeader>&amp;L&amp;16MIS-5&amp;R&amp;16May 2008</oddHeader>
    <oddFooter>&amp;C&amp;16Company Name here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B2:L41"/>
  <sheetViews>
    <sheetView workbookViewId="0" topLeftCell="B1">
      <selection activeCell="H40" sqref="H40"/>
    </sheetView>
  </sheetViews>
  <sheetFormatPr defaultColWidth="9.140625" defaultRowHeight="12.75"/>
  <cols>
    <col min="1" max="1" width="2.140625" style="444" customWidth="1"/>
    <col min="2" max="2" width="1.7109375" style="444" customWidth="1"/>
    <col min="3" max="3" width="2.8515625" style="444" customWidth="1"/>
    <col min="4" max="4" width="38.00390625" style="444" customWidth="1"/>
    <col min="5" max="5" width="20.57421875" style="444" customWidth="1"/>
    <col min="6" max="6" width="4.421875" style="444" customWidth="1"/>
    <col min="7" max="7" width="2.8515625" style="444" customWidth="1"/>
    <col min="8" max="8" width="36.8515625" style="444" bestFit="1" customWidth="1"/>
    <col min="9" max="9" width="20.28125" style="444" bestFit="1" customWidth="1"/>
    <col min="10" max="10" width="1.28515625" style="444" customWidth="1"/>
    <col min="11" max="11" width="17.140625" style="444" bestFit="1" customWidth="1"/>
    <col min="12" max="12" width="14.28125" style="444" bestFit="1" customWidth="1"/>
    <col min="13" max="16384" width="9.140625" style="444" customWidth="1"/>
  </cols>
  <sheetData>
    <row r="1" ht="15" customHeight="1" thickBot="1"/>
    <row r="2" spans="2:10" ht="36" customHeight="1">
      <c r="B2" s="825" t="s">
        <v>1039</v>
      </c>
      <c r="C2" s="826"/>
      <c r="D2" s="826"/>
      <c r="E2" s="826"/>
      <c r="F2" s="826"/>
      <c r="G2" s="826"/>
      <c r="H2" s="826"/>
      <c r="I2" s="826"/>
      <c r="J2" s="445"/>
    </row>
    <row r="3" spans="2:10" ht="22.5">
      <c r="B3" s="446"/>
      <c r="C3" s="827" t="s">
        <v>1017</v>
      </c>
      <c r="D3" s="828"/>
      <c r="E3" s="828"/>
      <c r="F3" s="828"/>
      <c r="G3" s="828"/>
      <c r="H3" s="828"/>
      <c r="I3" s="829"/>
      <c r="J3" s="447"/>
    </row>
    <row r="4" spans="2:10" ht="19.5" customHeight="1">
      <c r="B4" s="446"/>
      <c r="C4" s="448"/>
      <c r="D4" s="449"/>
      <c r="E4" s="450"/>
      <c r="F4" s="450"/>
      <c r="G4" s="450"/>
      <c r="H4" s="448"/>
      <c r="I4" s="448"/>
      <c r="J4" s="447"/>
    </row>
    <row r="5" spans="2:10" ht="15.75" customHeight="1">
      <c r="B5" s="446"/>
      <c r="C5" s="448"/>
      <c r="D5" s="451" t="s">
        <v>922</v>
      </c>
      <c r="E5" s="450"/>
      <c r="F5" s="450"/>
      <c r="G5" s="450"/>
      <c r="H5" s="450"/>
      <c r="I5" s="450"/>
      <c r="J5" s="447"/>
    </row>
    <row r="6" spans="2:10" ht="12" customHeight="1">
      <c r="B6" s="446"/>
      <c r="C6" s="448"/>
      <c r="D6" s="448"/>
      <c r="E6" s="448"/>
      <c r="F6" s="448"/>
      <c r="G6" s="448"/>
      <c r="H6" s="448"/>
      <c r="I6" s="448"/>
      <c r="J6" s="447"/>
    </row>
    <row r="7" spans="2:10" ht="18" customHeight="1">
      <c r="B7" s="446"/>
      <c r="C7" s="830" t="s">
        <v>923</v>
      </c>
      <c r="D7" s="830"/>
      <c r="E7" s="448"/>
      <c r="F7" s="448"/>
      <c r="G7" s="830" t="s">
        <v>924</v>
      </c>
      <c r="H7" s="830"/>
      <c r="I7" s="448"/>
      <c r="J7" s="447"/>
    </row>
    <row r="8" spans="2:10" ht="19.5" customHeight="1">
      <c r="B8" s="446"/>
      <c r="C8" s="452" t="s">
        <v>212</v>
      </c>
      <c r="D8" s="448"/>
      <c r="E8" s="448"/>
      <c r="F8" s="448"/>
      <c r="G8" s="452" t="s">
        <v>181</v>
      </c>
      <c r="H8" s="453"/>
      <c r="I8" s="448"/>
      <c r="J8" s="447"/>
    </row>
    <row r="9" spans="2:10" ht="15.75" customHeight="1">
      <c r="B9" s="446"/>
      <c r="C9" s="448" t="s">
        <v>854</v>
      </c>
      <c r="D9" s="448"/>
      <c r="E9" s="454">
        <f>'C F '!C41</f>
        <v>0</v>
      </c>
      <c r="F9" s="448"/>
      <c r="G9" s="448" t="s">
        <v>925</v>
      </c>
      <c r="H9" s="448"/>
      <c r="I9" s="601">
        <v>0</v>
      </c>
      <c r="J9" s="447"/>
    </row>
    <row r="10" spans="2:10" ht="15.75" customHeight="1">
      <c r="B10" s="446"/>
      <c r="C10" s="448" t="s">
        <v>926</v>
      </c>
      <c r="D10" s="448"/>
      <c r="E10" s="454">
        <f>+'C F '!C42</f>
        <v>0</v>
      </c>
      <c r="F10" s="448"/>
      <c r="G10" s="448" t="s">
        <v>182</v>
      </c>
      <c r="H10" s="448"/>
      <c r="I10" s="601">
        <v>0</v>
      </c>
      <c r="J10" s="447"/>
    </row>
    <row r="11" spans="2:10" ht="15.75" customHeight="1">
      <c r="B11" s="446"/>
      <c r="C11" s="448" t="s">
        <v>927</v>
      </c>
      <c r="D11" s="448"/>
      <c r="E11" s="454" t="e">
        <f>+'Debtors aging '!#REF!</f>
        <v>#REF!</v>
      </c>
      <c r="F11" s="448"/>
      <c r="G11" s="448" t="s">
        <v>569</v>
      </c>
      <c r="H11" s="448"/>
      <c r="I11" s="601">
        <v>0</v>
      </c>
      <c r="J11" s="447"/>
    </row>
    <row r="12" spans="2:10" ht="15.75" customHeight="1">
      <c r="B12" s="446"/>
      <c r="C12" s="448" t="s">
        <v>1008</v>
      </c>
      <c r="D12" s="448"/>
      <c r="E12" s="601">
        <v>0</v>
      </c>
      <c r="F12" s="448"/>
      <c r="G12" s="448" t="s">
        <v>928</v>
      </c>
      <c r="H12" s="448"/>
      <c r="I12" s="601">
        <v>0</v>
      </c>
      <c r="J12" s="447"/>
    </row>
    <row r="13" spans="2:10" ht="15.75" customHeight="1">
      <c r="B13" s="446"/>
      <c r="C13" s="448" t="s">
        <v>929</v>
      </c>
      <c r="D13" s="448"/>
      <c r="E13" s="645">
        <f>'P &amp; L '!E35</f>
        <v>0</v>
      </c>
      <c r="F13" s="448"/>
      <c r="G13" s="448" t="s">
        <v>930</v>
      </c>
      <c r="H13" s="448"/>
      <c r="I13" s="454">
        <v>0</v>
      </c>
      <c r="J13" s="447"/>
    </row>
    <row r="14" spans="2:10" ht="15.75" customHeight="1">
      <c r="B14" s="446"/>
      <c r="C14" s="448" t="s">
        <v>931</v>
      </c>
      <c r="D14" s="448"/>
      <c r="E14" s="601">
        <v>0</v>
      </c>
      <c r="F14" s="448"/>
      <c r="G14" s="448" t="s">
        <v>1007</v>
      </c>
      <c r="H14" s="448"/>
      <c r="I14" s="601">
        <v>0</v>
      </c>
      <c r="J14" s="447"/>
    </row>
    <row r="15" spans="2:10" ht="15.75" customHeight="1">
      <c r="B15" s="446"/>
      <c r="C15" s="448" t="s">
        <v>932</v>
      </c>
      <c r="D15" s="448"/>
      <c r="E15" s="454">
        <v>0</v>
      </c>
      <c r="F15" s="448"/>
      <c r="G15" s="448" t="s">
        <v>1010</v>
      </c>
      <c r="H15" s="448"/>
      <c r="I15" s="601">
        <v>0</v>
      </c>
      <c r="J15" s="447"/>
    </row>
    <row r="16" spans="2:10" ht="21" customHeight="1">
      <c r="B16" s="446"/>
      <c r="C16" s="448"/>
      <c r="D16" s="455" t="s">
        <v>933</v>
      </c>
      <c r="E16" s="456" t="e">
        <f>+SUM(E9:E15)</f>
        <v>#REF!</v>
      </c>
      <c r="F16" s="448"/>
      <c r="G16" s="448"/>
      <c r="H16" s="455" t="s">
        <v>934</v>
      </c>
      <c r="I16" s="456">
        <f>+SUM(I9:I15)</f>
        <v>0</v>
      </c>
      <c r="J16" s="447"/>
    </row>
    <row r="17" spans="2:10" ht="36" customHeight="1">
      <c r="B17" s="446"/>
      <c r="C17" s="452" t="s">
        <v>82</v>
      </c>
      <c r="D17" s="448"/>
      <c r="E17" s="448"/>
      <c r="F17" s="448"/>
      <c r="G17" s="452" t="s">
        <v>935</v>
      </c>
      <c r="H17" s="448"/>
      <c r="I17" s="448"/>
      <c r="J17" s="447"/>
    </row>
    <row r="18" spans="2:10" ht="15.75" customHeight="1">
      <c r="B18" s="446"/>
      <c r="C18" s="448" t="s">
        <v>936</v>
      </c>
      <c r="D18" s="448"/>
      <c r="E18" s="454">
        <v>0</v>
      </c>
      <c r="F18" s="448"/>
      <c r="G18" s="448"/>
      <c r="H18" s="448" t="s">
        <v>802</v>
      </c>
      <c r="I18" s="457">
        <v>0</v>
      </c>
      <c r="J18" s="447"/>
    </row>
    <row r="19" spans="2:10" ht="15.75" customHeight="1">
      <c r="B19" s="446"/>
      <c r="C19" s="448" t="s">
        <v>1009</v>
      </c>
      <c r="D19" s="448"/>
      <c r="E19" s="454">
        <v>0</v>
      </c>
      <c r="F19" s="448"/>
      <c r="G19" s="448"/>
      <c r="H19" s="448"/>
      <c r="I19" s="458"/>
      <c r="J19" s="447"/>
    </row>
    <row r="20" spans="2:10" ht="15.75" customHeight="1">
      <c r="B20" s="446"/>
      <c r="C20" s="448" t="s">
        <v>937</v>
      </c>
      <c r="D20" s="448"/>
      <c r="E20" s="454">
        <v>0</v>
      </c>
      <c r="F20" s="448"/>
      <c r="G20" s="448"/>
      <c r="H20" s="448"/>
      <c r="I20" s="458"/>
      <c r="J20" s="447"/>
    </row>
    <row r="21" spans="2:10" ht="15.75" customHeight="1">
      <c r="B21" s="446"/>
      <c r="C21" s="448"/>
      <c r="D21" s="448" t="s">
        <v>938</v>
      </c>
      <c r="E21" s="454">
        <v>0</v>
      </c>
      <c r="F21" s="448"/>
      <c r="G21" s="452" t="s">
        <v>241</v>
      </c>
      <c r="H21" s="448"/>
      <c r="I21" s="448"/>
      <c r="J21" s="447"/>
    </row>
    <row r="22" spans="2:10" ht="15.75" customHeight="1">
      <c r="B22" s="446"/>
      <c r="C22" s="448" t="s">
        <v>939</v>
      </c>
      <c r="D22" s="448"/>
      <c r="E22" s="454">
        <v>0</v>
      </c>
      <c r="F22" s="448"/>
      <c r="G22" s="448" t="s">
        <v>940</v>
      </c>
      <c r="H22" s="448"/>
      <c r="I22" s="459">
        <v>0</v>
      </c>
      <c r="J22" s="447"/>
    </row>
    <row r="23" spans="2:10" ht="15.75" customHeight="1">
      <c r="B23" s="446"/>
      <c r="C23" s="448"/>
      <c r="D23" s="448" t="s">
        <v>938</v>
      </c>
      <c r="E23" s="454">
        <v>0</v>
      </c>
      <c r="F23" s="448"/>
      <c r="G23" s="448" t="s">
        <v>941</v>
      </c>
      <c r="H23" s="448"/>
      <c r="I23" s="459">
        <v>0</v>
      </c>
      <c r="J23" s="447"/>
    </row>
    <row r="24" spans="2:10" ht="15.75" customHeight="1">
      <c r="B24" s="446"/>
      <c r="C24" s="448" t="s">
        <v>942</v>
      </c>
      <c r="D24" s="448"/>
      <c r="E24" s="454">
        <v>0</v>
      </c>
      <c r="F24" s="448"/>
      <c r="G24" s="448" t="s">
        <v>957</v>
      </c>
      <c r="H24" s="448"/>
      <c r="I24" s="646">
        <v>0</v>
      </c>
      <c r="J24" s="447"/>
    </row>
    <row r="25" spans="2:10" ht="15.75" customHeight="1">
      <c r="B25" s="446"/>
      <c r="C25" s="448"/>
      <c r="D25" s="448" t="s">
        <v>938</v>
      </c>
      <c r="E25" s="454">
        <v>0</v>
      </c>
      <c r="F25" s="448"/>
      <c r="G25" s="448" t="s">
        <v>943</v>
      </c>
      <c r="H25" s="448"/>
      <c r="I25" s="460"/>
      <c r="J25" s="447"/>
    </row>
    <row r="26" spans="2:10" ht="15.75" customHeight="1">
      <c r="B26" s="446"/>
      <c r="C26" s="448" t="s">
        <v>944</v>
      </c>
      <c r="D26" s="448"/>
      <c r="E26" s="454">
        <v>0</v>
      </c>
      <c r="F26" s="448"/>
      <c r="G26" s="448"/>
      <c r="H26" s="455" t="s">
        <v>945</v>
      </c>
      <c r="I26" s="457">
        <f>+SUM(I22:I25)</f>
        <v>0</v>
      </c>
      <c r="J26" s="447"/>
    </row>
    <row r="27" spans="2:10" ht="15.75" customHeight="1">
      <c r="B27" s="446"/>
      <c r="C27" s="448"/>
      <c r="D27" s="448" t="s">
        <v>938</v>
      </c>
      <c r="E27" s="454">
        <v>0</v>
      </c>
      <c r="F27" s="448"/>
      <c r="G27" s="448"/>
      <c r="H27" s="448"/>
      <c r="I27" s="448"/>
      <c r="J27" s="447"/>
    </row>
    <row r="28" spans="2:10" ht="15.75" customHeight="1">
      <c r="B28" s="446"/>
      <c r="C28" s="448" t="s">
        <v>946</v>
      </c>
      <c r="D28" s="448"/>
      <c r="E28" s="454">
        <v>0</v>
      </c>
      <c r="F28" s="448"/>
      <c r="G28" s="448"/>
      <c r="H28" s="448"/>
      <c r="I28" s="448"/>
      <c r="J28" s="447"/>
    </row>
    <row r="29" spans="2:10" ht="15.75" customHeight="1">
      <c r="B29" s="446"/>
      <c r="C29" s="448"/>
      <c r="D29" s="448" t="s">
        <v>938</v>
      </c>
      <c r="E29" s="467">
        <v>0</v>
      </c>
      <c r="F29" s="448"/>
      <c r="G29" s="455" t="s">
        <v>948</v>
      </c>
      <c r="H29" s="455"/>
      <c r="I29" s="448"/>
      <c r="J29" s="447"/>
    </row>
    <row r="30" spans="2:10" ht="15.75" customHeight="1">
      <c r="B30" s="446"/>
      <c r="C30" s="448" t="s">
        <v>958</v>
      </c>
      <c r="D30" s="448"/>
      <c r="E30" s="454">
        <v>0</v>
      </c>
      <c r="F30" s="448"/>
      <c r="G30" s="455"/>
      <c r="H30" s="448" t="s">
        <v>728</v>
      </c>
      <c r="I30" s="460">
        <v>0</v>
      </c>
      <c r="J30" s="447"/>
    </row>
    <row r="31" spans="2:10" ht="15.75" customHeight="1">
      <c r="B31" s="446"/>
      <c r="C31" s="448"/>
      <c r="D31" s="448" t="s">
        <v>959</v>
      </c>
      <c r="E31" s="468">
        <v>0</v>
      </c>
      <c r="F31" s="448"/>
      <c r="G31" s="455"/>
      <c r="H31" s="448" t="s">
        <v>1015</v>
      </c>
      <c r="I31" s="647">
        <v>0</v>
      </c>
      <c r="J31" s="447"/>
    </row>
    <row r="32" spans="2:10" ht="15.75" customHeight="1">
      <c r="B32" s="446"/>
      <c r="C32" s="448"/>
      <c r="D32" s="455" t="s">
        <v>947</v>
      </c>
      <c r="E32" s="457">
        <f>SUM(E18:E31)</f>
        <v>0</v>
      </c>
      <c r="F32" s="448"/>
      <c r="G32" s="455"/>
      <c r="H32" s="448"/>
      <c r="I32" s="644">
        <f>+I30+I31</f>
        <v>0</v>
      </c>
      <c r="J32" s="447"/>
    </row>
    <row r="33" spans="2:10" ht="15.75" customHeight="1">
      <c r="B33" s="446"/>
      <c r="C33" s="448"/>
      <c r="D33" s="448"/>
      <c r="E33" s="458"/>
      <c r="F33" s="448"/>
      <c r="G33" s="448"/>
      <c r="H33" s="448"/>
      <c r="I33" s="448" t="s">
        <v>1034</v>
      </c>
      <c r="J33" s="447"/>
    </row>
    <row r="34" spans="2:12" ht="33.75" customHeight="1">
      <c r="B34" s="446"/>
      <c r="C34" s="455" t="s">
        <v>949</v>
      </c>
      <c r="D34" s="448"/>
      <c r="E34" s="466" t="e">
        <f>+E16+E32</f>
        <v>#REF!</v>
      </c>
      <c r="F34" s="448"/>
      <c r="G34" s="455" t="s">
        <v>950</v>
      </c>
      <c r="H34" s="455"/>
      <c r="I34" s="466">
        <f>I32+I26+I18+I16</f>
        <v>0</v>
      </c>
      <c r="J34" s="447"/>
      <c r="L34" s="648"/>
    </row>
    <row r="35" spans="2:10" ht="12.75">
      <c r="B35" s="446"/>
      <c r="C35" s="448"/>
      <c r="D35" s="448"/>
      <c r="E35" s="448"/>
      <c r="F35" s="448"/>
      <c r="G35" s="448"/>
      <c r="H35" s="448"/>
      <c r="I35" s="448"/>
      <c r="J35" s="447"/>
    </row>
    <row r="36" spans="2:10" ht="15.75" thickBot="1">
      <c r="B36" s="461"/>
      <c r="C36" s="462"/>
      <c r="D36" s="463"/>
      <c r="E36" s="462"/>
      <c r="F36" s="462"/>
      <c r="G36" s="462"/>
      <c r="H36" s="462"/>
      <c r="I36" s="462"/>
      <c r="J36" s="464"/>
    </row>
    <row r="41" ht="12.75">
      <c r="E41" s="602"/>
    </row>
  </sheetData>
  <mergeCells count="4">
    <mergeCell ref="B2:I2"/>
    <mergeCell ref="C3:I3"/>
    <mergeCell ref="C7:D7"/>
    <mergeCell ref="G7:H7"/>
  </mergeCells>
  <printOptions horizontalCentered="1"/>
  <pageMargins left="0.38" right="0.41" top="1" bottom="1" header="0.5" footer="0.5"/>
  <pageSetup horizontalDpi="300" verticalDpi="300" orientation="portrait" scale="75" r:id="rId1"/>
  <headerFooter alignWithMargins="0">
    <oddHeader>&amp;L&amp;16MIS-6&amp;R&amp;16May 2008</oddHeader>
    <oddFooter>&amp;C&amp;16Company Name</oddFooter>
  </headerFooter>
  <rowBreaks count="1" manualBreakCount="1">
    <brk id="36" min="1" max="9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8"/>
  <sheetViews>
    <sheetView zoomScale="70" zoomScaleNormal="70" workbookViewId="0" topLeftCell="A1">
      <selection activeCell="C49" sqref="C49"/>
    </sheetView>
  </sheetViews>
  <sheetFormatPr defaultColWidth="9.140625" defaultRowHeight="12.75"/>
  <cols>
    <col min="1" max="1" width="13.8515625" style="339" customWidth="1"/>
    <col min="2" max="2" width="9.140625" style="339" customWidth="1"/>
    <col min="3" max="3" width="83.140625" style="339" customWidth="1"/>
    <col min="4" max="4" width="24.421875" style="339" customWidth="1"/>
    <col min="5" max="5" width="30.00390625" style="339" customWidth="1"/>
    <col min="6" max="6" width="20.421875" style="339" bestFit="1" customWidth="1"/>
    <col min="7" max="7" width="20.140625" style="339" bestFit="1" customWidth="1"/>
    <col min="8" max="8" width="16.28125" style="339" bestFit="1" customWidth="1"/>
    <col min="9" max="9" width="18.140625" style="339" bestFit="1" customWidth="1"/>
    <col min="10" max="10" width="13.57421875" style="339" bestFit="1" customWidth="1"/>
    <col min="11" max="11" width="12.7109375" style="339" bestFit="1" customWidth="1"/>
    <col min="12" max="12" width="18.140625" style="339" customWidth="1"/>
    <col min="13" max="13" width="12.57421875" style="339" bestFit="1" customWidth="1"/>
    <col min="14" max="14" width="12.7109375" style="339" bestFit="1" customWidth="1"/>
    <col min="15" max="16384" width="9.140625" style="339" customWidth="1"/>
  </cols>
  <sheetData>
    <row r="1" spans="1:5" ht="43.5" customHeight="1">
      <c r="A1" s="831" t="s">
        <v>1028</v>
      </c>
      <c r="B1" s="832"/>
      <c r="C1" s="832"/>
      <c r="D1" s="832"/>
      <c r="E1" s="833"/>
    </row>
    <row r="2" spans="1:5" ht="21" customHeight="1">
      <c r="A2" s="834" t="s">
        <v>818</v>
      </c>
      <c r="B2" s="835"/>
      <c r="C2" s="836"/>
      <c r="D2" s="341" t="s">
        <v>3</v>
      </c>
      <c r="E2" s="340" t="s">
        <v>3</v>
      </c>
    </row>
    <row r="3" spans="1:10" ht="24" customHeight="1">
      <c r="A3" s="837"/>
      <c r="B3" s="838"/>
      <c r="C3" s="839"/>
      <c r="D3" s="343" t="s">
        <v>819</v>
      </c>
      <c r="E3" s="342" t="s">
        <v>819</v>
      </c>
      <c r="G3" s="344"/>
      <c r="H3" s="344"/>
      <c r="I3" s="344"/>
      <c r="J3" s="344"/>
    </row>
    <row r="4" spans="1:10" ht="25.5">
      <c r="A4" s="345"/>
      <c r="B4" s="346" t="s">
        <v>1031</v>
      </c>
      <c r="C4" s="347"/>
      <c r="D4" s="390"/>
      <c r="E4" s="391">
        <v>0</v>
      </c>
      <c r="F4" s="373"/>
      <c r="G4" s="374"/>
      <c r="H4" s="350"/>
      <c r="I4" s="350"/>
      <c r="J4" s="344"/>
    </row>
    <row r="5" spans="1:10" ht="18">
      <c r="A5" s="351"/>
      <c r="B5" s="352"/>
      <c r="C5" s="335"/>
      <c r="D5" s="392"/>
      <c r="E5" s="393"/>
      <c r="G5" s="349"/>
      <c r="H5" s="349"/>
      <c r="I5" s="349"/>
      <c r="J5" s="344"/>
    </row>
    <row r="6" spans="1:10" ht="26.25">
      <c r="A6" s="353" t="s">
        <v>822</v>
      </c>
      <c r="B6" s="354" t="s">
        <v>837</v>
      </c>
      <c r="C6" s="335"/>
      <c r="D6" s="394"/>
      <c r="E6" s="395">
        <v>0</v>
      </c>
      <c r="G6" s="349"/>
      <c r="H6" s="349"/>
      <c r="I6" s="349"/>
      <c r="J6" s="344"/>
    </row>
    <row r="7" spans="1:10" ht="18">
      <c r="A7" s="355"/>
      <c r="B7" s="352"/>
      <c r="C7" s="335"/>
      <c r="D7" s="392"/>
      <c r="E7" s="393"/>
      <c r="G7" s="349"/>
      <c r="H7" s="349"/>
      <c r="I7" s="349"/>
      <c r="J7" s="344"/>
    </row>
    <row r="8" spans="1:10" ht="26.25" thickBot="1">
      <c r="A8" s="355"/>
      <c r="B8" s="352"/>
      <c r="C8" s="356" t="s">
        <v>825</v>
      </c>
      <c r="D8" s="394"/>
      <c r="E8" s="396">
        <f>E4-E6</f>
        <v>0</v>
      </c>
      <c r="F8" s="348"/>
      <c r="G8" s="349"/>
      <c r="H8" s="349"/>
      <c r="I8" s="349"/>
      <c r="J8" s="344"/>
    </row>
    <row r="9" spans="1:10" ht="19.5" thickBot="1" thickTop="1">
      <c r="A9" s="355"/>
      <c r="B9" s="352"/>
      <c r="C9" s="335"/>
      <c r="D9" s="392"/>
      <c r="E9" s="393"/>
      <c r="G9" s="349"/>
      <c r="H9" s="357"/>
      <c r="I9" s="349"/>
      <c r="J9" s="344"/>
    </row>
    <row r="10" spans="1:10" ht="27" thickBot="1">
      <c r="A10" s="353" t="s">
        <v>820</v>
      </c>
      <c r="B10" s="358" t="s">
        <v>1030</v>
      </c>
      <c r="C10" s="335"/>
      <c r="D10" s="394"/>
      <c r="E10" s="397">
        <f>D12+D19</f>
        <v>0</v>
      </c>
      <c r="G10" s="349"/>
      <c r="H10" s="357"/>
      <c r="I10" s="349"/>
      <c r="J10" s="344"/>
    </row>
    <row r="11" spans="1:10" ht="26.25">
      <c r="A11" s="359"/>
      <c r="B11" s="358"/>
      <c r="C11" s="335"/>
      <c r="D11" s="394"/>
      <c r="E11" s="398"/>
      <c r="G11" s="349"/>
      <c r="H11" s="349"/>
      <c r="I11" s="349"/>
      <c r="J11" s="344"/>
    </row>
    <row r="12" spans="1:10" ht="22.5">
      <c r="A12" s="355"/>
      <c r="B12" s="360" t="s">
        <v>865</v>
      </c>
      <c r="C12" s="335"/>
      <c r="D12" s="399">
        <f>SUM(D13:D17)</f>
        <v>0</v>
      </c>
      <c r="E12" s="400"/>
      <c r="G12" s="349"/>
      <c r="H12" s="357"/>
      <c r="I12" s="349"/>
      <c r="J12" s="344"/>
    </row>
    <row r="13" spans="1:10" ht="19.5">
      <c r="A13" s="355"/>
      <c r="B13" s="334"/>
      <c r="C13" s="338" t="s">
        <v>847</v>
      </c>
      <c r="D13" s="401">
        <v>0</v>
      </c>
      <c r="E13" s="393"/>
      <c r="G13" s="349"/>
      <c r="H13" s="349"/>
      <c r="I13" s="349"/>
      <c r="J13" s="344"/>
    </row>
    <row r="14" spans="1:10" ht="19.5">
      <c r="A14" s="355"/>
      <c r="B14" s="334"/>
      <c r="C14" s="338" t="s">
        <v>846</v>
      </c>
      <c r="D14" s="402">
        <v>0</v>
      </c>
      <c r="E14" s="400"/>
      <c r="G14" s="349"/>
      <c r="H14" s="349"/>
      <c r="I14" s="349"/>
      <c r="J14" s="344"/>
    </row>
    <row r="15" spans="1:10" ht="19.5">
      <c r="A15" s="355"/>
      <c r="B15" s="334"/>
      <c r="C15" s="338" t="s">
        <v>867</v>
      </c>
      <c r="D15" s="402">
        <v>0</v>
      </c>
      <c r="E15" s="400"/>
      <c r="G15" s="349"/>
      <c r="H15" s="349"/>
      <c r="I15" s="349"/>
      <c r="J15" s="344"/>
    </row>
    <row r="16" spans="1:10" ht="19.5">
      <c r="A16" s="355"/>
      <c r="B16" s="334"/>
      <c r="C16" s="338" t="s">
        <v>866</v>
      </c>
      <c r="D16" s="402">
        <v>0</v>
      </c>
      <c r="E16" s="400"/>
      <c r="G16" s="349"/>
      <c r="H16" s="349"/>
      <c r="I16" s="349"/>
      <c r="J16" s="344"/>
    </row>
    <row r="17" spans="1:10" ht="19.5">
      <c r="A17" s="355"/>
      <c r="B17" s="334"/>
      <c r="C17" s="338" t="s">
        <v>848</v>
      </c>
      <c r="D17" s="402">
        <v>0</v>
      </c>
      <c r="E17" s="400"/>
      <c r="G17" s="349"/>
      <c r="H17" s="357"/>
      <c r="I17" s="357"/>
      <c r="J17" s="344"/>
    </row>
    <row r="18" spans="1:5" ht="18">
      <c r="A18" s="355"/>
      <c r="B18" s="334"/>
      <c r="C18" s="335"/>
      <c r="D18" s="394"/>
      <c r="E18" s="400"/>
    </row>
    <row r="19" spans="1:5" ht="24">
      <c r="A19" s="355"/>
      <c r="B19" s="362" t="s">
        <v>821</v>
      </c>
      <c r="C19" s="335"/>
      <c r="D19" s="399">
        <f>SUM(D20:D23)</f>
        <v>0</v>
      </c>
      <c r="E19" s="400"/>
    </row>
    <row r="20" spans="1:5" ht="19.5">
      <c r="A20" s="355"/>
      <c r="B20" s="334"/>
      <c r="C20" s="338" t="s">
        <v>833</v>
      </c>
      <c r="D20" s="403">
        <v>0</v>
      </c>
      <c r="E20" s="400"/>
    </row>
    <row r="21" spans="1:5" ht="19.5">
      <c r="A21" s="355"/>
      <c r="B21" s="363"/>
      <c r="C21" s="338" t="s">
        <v>853</v>
      </c>
      <c r="D21" s="403">
        <v>0</v>
      </c>
      <c r="E21" s="400"/>
    </row>
    <row r="22" spans="1:5" ht="19.5">
      <c r="A22" s="355"/>
      <c r="B22" s="363"/>
      <c r="C22" s="338" t="s">
        <v>826</v>
      </c>
      <c r="D22" s="403">
        <v>0</v>
      </c>
      <c r="E22" s="400"/>
    </row>
    <row r="23" spans="1:5" ht="19.5">
      <c r="A23" s="355"/>
      <c r="B23" s="363"/>
      <c r="C23" s="338" t="s">
        <v>832</v>
      </c>
      <c r="D23" s="403">
        <v>0</v>
      </c>
      <c r="E23" s="400"/>
    </row>
    <row r="24" spans="1:5" ht="19.5">
      <c r="A24" s="355"/>
      <c r="B24" s="363"/>
      <c r="C24" s="335"/>
      <c r="D24" s="403"/>
      <c r="E24" s="400"/>
    </row>
    <row r="25" spans="1:5" ht="23.25" thickBot="1">
      <c r="A25" s="355"/>
      <c r="B25" s="334"/>
      <c r="C25" s="335"/>
      <c r="D25" s="400"/>
      <c r="E25" s="396">
        <f>E8+E10</f>
        <v>0</v>
      </c>
    </row>
    <row r="26" spans="1:5" ht="19.5" thickBot="1" thickTop="1">
      <c r="A26" s="355"/>
      <c r="B26" s="334"/>
      <c r="C26" s="335"/>
      <c r="D26" s="392"/>
      <c r="E26" s="400"/>
    </row>
    <row r="27" spans="1:5" ht="27" thickBot="1">
      <c r="A27" s="353" t="s">
        <v>822</v>
      </c>
      <c r="B27" s="842" t="s">
        <v>1032</v>
      </c>
      <c r="C27" s="843"/>
      <c r="D27" s="404">
        <f>SUM(D29:D31)</f>
        <v>0</v>
      </c>
      <c r="E27" s="405">
        <f>+D27+D33</f>
        <v>0</v>
      </c>
    </row>
    <row r="28" spans="1:9" ht="14.25" customHeight="1">
      <c r="A28" s="359"/>
      <c r="B28" s="337"/>
      <c r="C28" s="336"/>
      <c r="D28" s="406"/>
      <c r="E28" s="398"/>
      <c r="G28" s="361"/>
      <c r="H28" s="361"/>
      <c r="I28" s="361"/>
    </row>
    <row r="29" spans="1:5" ht="20.25">
      <c r="A29" s="355"/>
      <c r="B29" s="334"/>
      <c r="C29" s="338" t="s">
        <v>1019</v>
      </c>
      <c r="D29" s="407">
        <v>0</v>
      </c>
      <c r="E29" s="400"/>
    </row>
    <row r="30" spans="1:5" ht="19.5">
      <c r="A30" s="355"/>
      <c r="B30" s="334"/>
      <c r="C30" s="338" t="s">
        <v>954</v>
      </c>
      <c r="D30" s="408">
        <v>0</v>
      </c>
      <c r="E30" s="400"/>
    </row>
    <row r="31" spans="1:5" ht="19.5">
      <c r="A31" s="355"/>
      <c r="B31" s="334"/>
      <c r="C31" s="338" t="s">
        <v>871</v>
      </c>
      <c r="D31" s="408">
        <v>0</v>
      </c>
      <c r="E31" s="400"/>
    </row>
    <row r="32" spans="1:5" ht="19.5">
      <c r="A32" s="355"/>
      <c r="B32" s="334"/>
      <c r="C32" s="338"/>
      <c r="D32" s="408"/>
      <c r="E32" s="400"/>
    </row>
    <row r="33" spans="1:5" ht="24">
      <c r="A33" s="351"/>
      <c r="B33" s="362" t="s">
        <v>823</v>
      </c>
      <c r="C33" s="335"/>
      <c r="D33" s="409">
        <f>SUM(D34:D37)</f>
        <v>0</v>
      </c>
      <c r="E33" s="400"/>
    </row>
    <row r="34" spans="1:5" ht="19.5">
      <c r="A34" s="355"/>
      <c r="B34" s="364"/>
      <c r="C34" s="365" t="s">
        <v>955</v>
      </c>
      <c r="D34" s="403">
        <v>0</v>
      </c>
      <c r="E34" s="400"/>
    </row>
    <row r="35" spans="1:5" ht="19.5">
      <c r="A35" s="355"/>
      <c r="B35" s="364"/>
      <c r="C35" s="365" t="s">
        <v>956</v>
      </c>
      <c r="D35" s="403">
        <v>0</v>
      </c>
      <c r="E35" s="400"/>
    </row>
    <row r="36" spans="1:5" ht="19.5">
      <c r="A36" s="355"/>
      <c r="B36" s="364"/>
      <c r="C36" s="365" t="s">
        <v>827</v>
      </c>
      <c r="D36" s="403">
        <v>0</v>
      </c>
      <c r="E36" s="400"/>
    </row>
    <row r="37" spans="1:5" ht="19.5">
      <c r="A37" s="355"/>
      <c r="B37" s="364"/>
      <c r="C37" s="365" t="s">
        <v>862</v>
      </c>
      <c r="D37" s="403">
        <v>0</v>
      </c>
      <c r="E37" s="400"/>
    </row>
    <row r="38" spans="1:5" ht="18">
      <c r="A38" s="355"/>
      <c r="B38" s="366"/>
      <c r="C38" s="367"/>
      <c r="D38" s="392"/>
      <c r="E38" s="400"/>
    </row>
    <row r="39" spans="1:5" ht="23.25" thickBot="1">
      <c r="A39" s="368"/>
      <c r="B39" s="840" t="s">
        <v>1033</v>
      </c>
      <c r="C39" s="841"/>
      <c r="D39" s="410"/>
      <c r="E39" s="411">
        <f>E25-E27</f>
        <v>0</v>
      </c>
    </row>
    <row r="40" spans="4:5" ht="19.5" thickBot="1" thickTop="1">
      <c r="D40" s="412"/>
      <c r="E40" s="225"/>
    </row>
    <row r="41" spans="2:5" ht="23.25" thickBot="1">
      <c r="B41" s="369" t="s">
        <v>824</v>
      </c>
      <c r="D41" s="412"/>
      <c r="E41" s="413">
        <v>0</v>
      </c>
    </row>
    <row r="42" spans="2:5" ht="22.5">
      <c r="B42" s="369"/>
      <c r="D42" s="412"/>
      <c r="E42" s="414"/>
    </row>
    <row r="43" spans="2:6" ht="23.25" thickBot="1">
      <c r="B43" s="369" t="s">
        <v>836</v>
      </c>
      <c r="D43" s="412"/>
      <c r="E43" s="415">
        <f>E41-E39</f>
        <v>0</v>
      </c>
      <c r="F43" s="348">
        <v>0</v>
      </c>
    </row>
    <row r="44" spans="2:5" ht="21.75" thickBot="1" thickTop="1">
      <c r="B44" s="370"/>
      <c r="D44" s="412"/>
      <c r="E44" s="412"/>
    </row>
    <row r="45" spans="2:5" ht="23.25" thickBot="1">
      <c r="B45" s="369" t="s">
        <v>863</v>
      </c>
      <c r="D45" s="412"/>
      <c r="E45" s="413">
        <v>0</v>
      </c>
    </row>
    <row r="46" spans="4:5" ht="18">
      <c r="D46" s="412"/>
      <c r="E46" s="412"/>
    </row>
    <row r="47" spans="2:5" ht="23.25" thickBot="1">
      <c r="B47" s="369" t="s">
        <v>1040</v>
      </c>
      <c r="D47" s="412"/>
      <c r="E47" s="415">
        <f>E45-E41</f>
        <v>0</v>
      </c>
    </row>
    <row r="48" spans="4:5" ht="18.75" thickTop="1">
      <c r="D48" s="412"/>
      <c r="E48" s="412"/>
    </row>
  </sheetData>
  <mergeCells count="4">
    <mergeCell ref="A1:E1"/>
    <mergeCell ref="A2:C3"/>
    <mergeCell ref="B39:C39"/>
    <mergeCell ref="B27:C27"/>
  </mergeCells>
  <printOptions horizontalCentered="1" verticalCentered="1"/>
  <pageMargins left="0.7" right="0.75" top="0.81" bottom="1.49" header="0.4" footer="0.94"/>
  <pageSetup fitToHeight="1" fitToWidth="1" horizontalDpi="300" verticalDpi="300" orientation="portrait" scale="57" r:id="rId1"/>
  <headerFooter alignWithMargins="0">
    <oddHeader>&amp;L&amp;16MIS-7&amp;R&amp;16May 2008</oddHeader>
    <oddFooter>&amp;C&amp;16Company Name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48"/>
  <sheetViews>
    <sheetView zoomScale="85" zoomScaleNormal="85" zoomScaleSheetLayoutView="70" workbookViewId="0" topLeftCell="A1">
      <selection activeCell="D9" sqref="D9"/>
    </sheetView>
  </sheetViews>
  <sheetFormatPr defaultColWidth="9.140625" defaultRowHeight="12.75"/>
  <cols>
    <col min="1" max="1" width="11.57421875" style="209" bestFit="1" customWidth="1"/>
    <col min="2" max="2" width="42.7109375" style="209" customWidth="1"/>
    <col min="3" max="3" width="10.8515625" style="209" bestFit="1" customWidth="1"/>
    <col min="4" max="4" width="13.421875" style="209" bestFit="1" customWidth="1"/>
    <col min="5" max="5" width="10.00390625" style="209" bestFit="1" customWidth="1"/>
    <col min="6" max="6" width="20.140625" style="209" bestFit="1" customWidth="1"/>
    <col min="7" max="7" width="23.140625" style="209" customWidth="1"/>
    <col min="8" max="8" width="22.00390625" style="209" customWidth="1"/>
    <col min="9" max="9" width="19.8515625" style="209" bestFit="1" customWidth="1"/>
    <col min="10" max="10" width="3.28125" style="209" bestFit="1" customWidth="1"/>
    <col min="11" max="11" width="18.140625" style="209" bestFit="1" customWidth="1"/>
    <col min="12" max="12" width="13.57421875" style="209" bestFit="1" customWidth="1"/>
    <col min="13" max="13" width="12.7109375" style="209" bestFit="1" customWidth="1"/>
    <col min="14" max="14" width="18.140625" style="209" customWidth="1"/>
    <col min="15" max="15" width="12.57421875" style="209" bestFit="1" customWidth="1"/>
    <col min="16" max="16" width="12.7109375" style="209" bestFit="1" customWidth="1"/>
    <col min="17" max="18" width="9.140625" style="209" customWidth="1"/>
    <col min="19" max="19" width="10.8515625" style="209" bestFit="1" customWidth="1"/>
    <col min="20" max="16384" width="9.140625" style="209" customWidth="1"/>
  </cols>
  <sheetData>
    <row r="1" spans="1:7" ht="22.5">
      <c r="A1" s="844" t="s">
        <v>1026</v>
      </c>
      <c r="B1" s="845"/>
      <c r="C1" s="845"/>
      <c r="D1" s="845"/>
      <c r="E1" s="845"/>
      <c r="F1" s="845"/>
      <c r="G1" s="846"/>
    </row>
    <row r="2" spans="1:7" ht="22.5">
      <c r="A2" s="847" t="s">
        <v>818</v>
      </c>
      <c r="B2" s="848"/>
      <c r="C2" s="848"/>
      <c r="D2" s="848"/>
      <c r="E2" s="848"/>
      <c r="F2" s="849"/>
      <c r="G2" s="507" t="s">
        <v>3</v>
      </c>
    </row>
    <row r="3" spans="1:7" ht="22.5">
      <c r="A3" s="850"/>
      <c r="B3" s="851"/>
      <c r="C3" s="851"/>
      <c r="D3" s="851"/>
      <c r="E3" s="851"/>
      <c r="F3" s="852"/>
      <c r="G3" s="508" t="s">
        <v>819</v>
      </c>
    </row>
    <row r="4" spans="1:8" ht="25.5">
      <c r="A4" s="479"/>
      <c r="B4" s="476" t="s">
        <v>1027</v>
      </c>
      <c r="C4" s="281"/>
      <c r="D4" s="281"/>
      <c r="E4" s="281"/>
      <c r="F4" s="282"/>
      <c r="G4" s="480">
        <v>12956266</v>
      </c>
      <c r="H4" s="665"/>
    </row>
    <row r="5" spans="1:7" ht="18.75" thickBot="1">
      <c r="A5" s="481"/>
      <c r="B5" s="283"/>
      <c r="C5" s="283"/>
      <c r="D5" s="283"/>
      <c r="E5" s="283"/>
      <c r="F5" s="284"/>
      <c r="G5" s="488"/>
    </row>
    <row r="6" spans="1:7" ht="26.25" thickBot="1">
      <c r="A6" s="493" t="s">
        <v>820</v>
      </c>
      <c r="B6" s="323" t="s">
        <v>860</v>
      </c>
      <c r="C6" s="285"/>
      <c r="D6" s="285"/>
      <c r="E6" s="285"/>
      <c r="F6" s="284"/>
      <c r="G6" s="475">
        <f>+G12+G17</f>
        <v>1443549.43</v>
      </c>
    </row>
    <row r="7" spans="1:7" ht="22.5">
      <c r="A7" s="481"/>
      <c r="B7" s="859" t="s">
        <v>965</v>
      </c>
      <c r="C7" s="859"/>
      <c r="D7" s="859"/>
      <c r="E7" s="859"/>
      <c r="F7" s="859"/>
      <c r="G7" s="509"/>
    </row>
    <row r="8" spans="1:7" ht="18">
      <c r="A8" s="481"/>
      <c r="B8" s="278" t="s">
        <v>674</v>
      </c>
      <c r="C8" s="278" t="s">
        <v>960</v>
      </c>
      <c r="D8" s="278" t="s">
        <v>962</v>
      </c>
      <c r="E8" s="278" t="s">
        <v>961</v>
      </c>
      <c r="F8" s="278" t="s">
        <v>819</v>
      </c>
      <c r="G8" s="510"/>
    </row>
    <row r="9" spans="1:7" ht="18">
      <c r="A9" s="481"/>
      <c r="B9" s="470" t="s">
        <v>975</v>
      </c>
      <c r="C9" s="469" t="s">
        <v>963</v>
      </c>
      <c r="D9" s="472">
        <v>7729</v>
      </c>
      <c r="E9" s="471">
        <f>F9/D9</f>
        <v>48.58105835166257</v>
      </c>
      <c r="F9" s="651">
        <v>375483</v>
      </c>
      <c r="G9" s="488"/>
    </row>
    <row r="10" spans="1:7" ht="18">
      <c r="A10" s="481"/>
      <c r="B10" s="470" t="s">
        <v>976</v>
      </c>
      <c r="C10" s="469" t="s">
        <v>964</v>
      </c>
      <c r="D10" s="472">
        <f>2359-133.1</f>
        <v>2225.9</v>
      </c>
      <c r="E10" s="471">
        <v>82</v>
      </c>
      <c r="F10" s="651">
        <f>D10*E10</f>
        <v>182523.80000000002</v>
      </c>
      <c r="G10" s="488"/>
    </row>
    <row r="11" spans="1:7" ht="18.75" thickBot="1">
      <c r="A11" s="481"/>
      <c r="B11" s="470" t="s">
        <v>977</v>
      </c>
      <c r="C11" s="469" t="s">
        <v>964</v>
      </c>
      <c r="D11" s="472">
        <v>3623</v>
      </c>
      <c r="E11" s="471">
        <v>241.41</v>
      </c>
      <c r="F11" s="651">
        <f>D11*E11</f>
        <v>874628.4299999999</v>
      </c>
      <c r="G11" s="488"/>
    </row>
    <row r="12" spans="1:7" ht="18.75" thickBot="1">
      <c r="A12" s="481"/>
      <c r="B12" s="469"/>
      <c r="C12" s="469"/>
      <c r="D12" s="860" t="s">
        <v>34</v>
      </c>
      <c r="E12" s="861"/>
      <c r="F12" s="651">
        <f>SUM(F9:F11)</f>
        <v>1432635.23</v>
      </c>
      <c r="G12" s="474">
        <f>F12</f>
        <v>1432635.23</v>
      </c>
    </row>
    <row r="13" spans="1:7" ht="22.5">
      <c r="A13" s="481"/>
      <c r="B13" s="859" t="s">
        <v>966</v>
      </c>
      <c r="C13" s="859"/>
      <c r="D13" s="859"/>
      <c r="E13" s="859"/>
      <c r="F13" s="859"/>
      <c r="G13" s="511"/>
    </row>
    <row r="14" spans="1:7" ht="18">
      <c r="A14" s="481"/>
      <c r="B14" s="278" t="s">
        <v>674</v>
      </c>
      <c r="C14" s="278" t="s">
        <v>960</v>
      </c>
      <c r="D14" s="278" t="s">
        <v>962</v>
      </c>
      <c r="E14" s="278" t="s">
        <v>961</v>
      </c>
      <c r="F14" s="278" t="s">
        <v>819</v>
      </c>
      <c r="G14" s="511"/>
    </row>
    <row r="15" spans="1:7" ht="18">
      <c r="A15" s="481"/>
      <c r="B15" s="470" t="s">
        <v>976</v>
      </c>
      <c r="C15" s="469" t="s">
        <v>964</v>
      </c>
      <c r="D15" s="472">
        <v>133.1</v>
      </c>
      <c r="E15" s="471">
        <v>82</v>
      </c>
      <c r="F15" s="651">
        <f>D15*E15</f>
        <v>10914.199999999999</v>
      </c>
      <c r="G15" s="511"/>
    </row>
    <row r="16" spans="1:7" ht="18.75" thickBot="1">
      <c r="A16" s="481"/>
      <c r="B16" s="469"/>
      <c r="C16" s="469"/>
      <c r="D16" s="469"/>
      <c r="E16" s="469"/>
      <c r="F16" s="651"/>
      <c r="G16" s="511"/>
    </row>
    <row r="17" spans="1:7" ht="18.75" thickBot="1">
      <c r="A17" s="481"/>
      <c r="B17" s="469"/>
      <c r="C17" s="469"/>
      <c r="D17" s="860" t="s">
        <v>34</v>
      </c>
      <c r="E17" s="861"/>
      <c r="F17" s="651">
        <f>SUM(F15:F16)</f>
        <v>10914.199999999999</v>
      </c>
      <c r="G17" s="474">
        <f>F17</f>
        <v>10914.199999999999</v>
      </c>
    </row>
    <row r="18" spans="1:7" ht="23.25" thickBot="1">
      <c r="A18" s="481"/>
      <c r="B18" s="323"/>
      <c r="C18" s="323"/>
      <c r="D18" s="323"/>
      <c r="E18" s="323"/>
      <c r="F18" s="284"/>
      <c r="G18" s="488"/>
    </row>
    <row r="19" spans="1:7" ht="24.75" thickBot="1">
      <c r="A19" s="493" t="s">
        <v>822</v>
      </c>
      <c r="B19" s="853" t="s">
        <v>967</v>
      </c>
      <c r="C19" s="854"/>
      <c r="D19" s="854"/>
      <c r="E19" s="854"/>
      <c r="F19" s="855"/>
      <c r="G19" s="477">
        <f>+G26+G32</f>
        <v>265060</v>
      </c>
    </row>
    <row r="20" spans="1:7" ht="26.25">
      <c r="A20" s="482"/>
      <c r="B20" s="859" t="s">
        <v>968</v>
      </c>
      <c r="C20" s="859"/>
      <c r="D20" s="859"/>
      <c r="E20" s="859"/>
      <c r="F20" s="859"/>
      <c r="G20" s="488"/>
    </row>
    <row r="21" spans="1:7" ht="26.25">
      <c r="A21" s="482"/>
      <c r="B21" s="278" t="s">
        <v>674</v>
      </c>
      <c r="C21" s="278" t="s">
        <v>960</v>
      </c>
      <c r="D21" s="278" t="s">
        <v>962</v>
      </c>
      <c r="E21" s="278" t="s">
        <v>961</v>
      </c>
      <c r="F21" s="278" t="s">
        <v>819</v>
      </c>
      <c r="G21" s="488"/>
    </row>
    <row r="22" spans="1:7" ht="26.25">
      <c r="A22" s="482"/>
      <c r="B22" s="473">
        <v>4492</v>
      </c>
      <c r="C22" s="472" t="s">
        <v>963</v>
      </c>
      <c r="D22" s="472">
        <v>2190</v>
      </c>
      <c r="E22" s="472">
        <v>30</v>
      </c>
      <c r="F22" s="651">
        <f>D22*E22</f>
        <v>65700</v>
      </c>
      <c r="G22" s="488"/>
    </row>
    <row r="23" spans="1:7" ht="26.25">
      <c r="A23" s="482"/>
      <c r="B23" s="473">
        <v>4611</v>
      </c>
      <c r="C23" s="472" t="s">
        <v>963</v>
      </c>
      <c r="D23" s="472">
        <v>4362</v>
      </c>
      <c r="E23" s="472">
        <v>45</v>
      </c>
      <c r="F23" s="651">
        <f>D23*E23</f>
        <v>196290</v>
      </c>
      <c r="G23" s="488"/>
    </row>
    <row r="24" spans="1:7" ht="26.25">
      <c r="A24" s="482"/>
      <c r="B24" s="472" t="s">
        <v>969</v>
      </c>
      <c r="C24" s="472" t="s">
        <v>963</v>
      </c>
      <c r="D24" s="472">
        <v>36</v>
      </c>
      <c r="E24" s="472">
        <v>33</v>
      </c>
      <c r="F24" s="651">
        <f>D24*E24</f>
        <v>1188</v>
      </c>
      <c r="G24" s="488"/>
    </row>
    <row r="25" spans="1:7" ht="27" thickBot="1">
      <c r="A25" s="482"/>
      <c r="B25" s="472" t="s">
        <v>970</v>
      </c>
      <c r="C25" s="472" t="s">
        <v>964</v>
      </c>
      <c r="D25" s="472">
        <v>14</v>
      </c>
      <c r="E25" s="472">
        <v>38</v>
      </c>
      <c r="F25" s="651">
        <f>D25*E25</f>
        <v>532</v>
      </c>
      <c r="G25" s="488"/>
    </row>
    <row r="26" spans="1:7" ht="27" thickBot="1">
      <c r="A26" s="482"/>
      <c r="B26" s="469"/>
      <c r="C26" s="469"/>
      <c r="D26" s="860" t="s">
        <v>34</v>
      </c>
      <c r="E26" s="861"/>
      <c r="F26" s="651">
        <f>SUM(F22:F25)</f>
        <v>263710</v>
      </c>
      <c r="G26" s="478">
        <f>F26</f>
        <v>263710</v>
      </c>
    </row>
    <row r="27" spans="1:7" ht="26.25">
      <c r="A27" s="482"/>
      <c r="B27" s="859" t="s">
        <v>989</v>
      </c>
      <c r="C27" s="859"/>
      <c r="D27" s="859"/>
      <c r="E27" s="859"/>
      <c r="F27" s="859"/>
      <c r="G27" s="488"/>
    </row>
    <row r="28" spans="1:7" ht="26.25">
      <c r="A28" s="482"/>
      <c r="B28" s="278" t="s">
        <v>674</v>
      </c>
      <c r="C28" s="278" t="s">
        <v>960</v>
      </c>
      <c r="D28" s="278" t="s">
        <v>962</v>
      </c>
      <c r="E28" s="278" t="s">
        <v>961</v>
      </c>
      <c r="F28" s="278" t="s">
        <v>819</v>
      </c>
      <c r="G28" s="488"/>
    </row>
    <row r="29" spans="1:7" ht="26.25">
      <c r="A29" s="482"/>
      <c r="B29" s="470">
        <v>4611</v>
      </c>
      <c r="C29" s="469" t="s">
        <v>963</v>
      </c>
      <c r="D29" s="472">
        <v>10</v>
      </c>
      <c r="E29" s="471">
        <v>45</v>
      </c>
      <c r="F29" s="470">
        <f>D29*E29</f>
        <v>450</v>
      </c>
      <c r="G29" s="488"/>
    </row>
    <row r="30" spans="1:7" ht="26.25">
      <c r="A30" s="482"/>
      <c r="B30" s="470" t="s">
        <v>971</v>
      </c>
      <c r="C30" s="469" t="s">
        <v>963</v>
      </c>
      <c r="D30" s="472">
        <v>8</v>
      </c>
      <c r="E30" s="471">
        <v>90</v>
      </c>
      <c r="F30" s="470">
        <f>D30*E30</f>
        <v>720</v>
      </c>
      <c r="G30" s="488"/>
    </row>
    <row r="31" spans="1:7" ht="27" thickBot="1">
      <c r="A31" s="482"/>
      <c r="B31" s="470" t="s">
        <v>972</v>
      </c>
      <c r="C31" s="469" t="s">
        <v>963</v>
      </c>
      <c r="D31" s="472">
        <v>2</v>
      </c>
      <c r="E31" s="471">
        <v>90</v>
      </c>
      <c r="F31" s="470">
        <f>D31*E31</f>
        <v>180</v>
      </c>
      <c r="G31" s="488"/>
    </row>
    <row r="32" spans="1:7" ht="27" thickBot="1">
      <c r="A32" s="482"/>
      <c r="B32" s="469"/>
      <c r="C32" s="469"/>
      <c r="D32" s="860" t="s">
        <v>34</v>
      </c>
      <c r="E32" s="861"/>
      <c r="F32" s="651">
        <f>SUM(F29:F31)</f>
        <v>1350</v>
      </c>
      <c r="G32" s="478">
        <f>F32</f>
        <v>1350</v>
      </c>
    </row>
    <row r="33" spans="1:7" ht="18">
      <c r="A33" s="481"/>
      <c r="B33" s="286"/>
      <c r="C33" s="286"/>
      <c r="D33" s="286"/>
      <c r="E33" s="286"/>
      <c r="F33" s="287"/>
      <c r="G33" s="488"/>
    </row>
    <row r="34" spans="1:7" ht="21" thickBot="1">
      <c r="A34" s="483"/>
      <c r="B34" s="856" t="s">
        <v>953</v>
      </c>
      <c r="C34" s="857"/>
      <c r="D34" s="857"/>
      <c r="E34" s="857"/>
      <c r="F34" s="858"/>
      <c r="G34" s="484">
        <f>G4+G6-G19</f>
        <v>14134755.43</v>
      </c>
    </row>
    <row r="35" spans="1:7" ht="18">
      <c r="A35" s="494"/>
      <c r="B35" s="495" t="s">
        <v>868</v>
      </c>
      <c r="C35" s="495"/>
      <c r="D35" s="495"/>
      <c r="E35" s="495"/>
      <c r="F35" s="496"/>
      <c r="G35" s="497"/>
    </row>
    <row r="36" spans="1:7" ht="18">
      <c r="A36" s="498"/>
      <c r="B36" s="492" t="s">
        <v>973</v>
      </c>
      <c r="C36" s="492"/>
      <c r="D36" s="492"/>
      <c r="E36" s="492"/>
      <c r="F36" s="492"/>
      <c r="G36" s="499"/>
    </row>
    <row r="37" spans="1:7" ht="18.75" thickBot="1">
      <c r="A37" s="498"/>
      <c r="B37" s="492" t="s">
        <v>974</v>
      </c>
      <c r="C37" s="492"/>
      <c r="D37" s="492"/>
      <c r="E37" s="492"/>
      <c r="F37" s="492"/>
      <c r="G37" s="499"/>
    </row>
    <row r="38" spans="1:7" ht="18">
      <c r="A38" s="498"/>
      <c r="B38" s="485" t="s">
        <v>674</v>
      </c>
      <c r="C38" s="486" t="s">
        <v>960</v>
      </c>
      <c r="D38" s="486" t="s">
        <v>962</v>
      </c>
      <c r="E38" s="486" t="s">
        <v>961</v>
      </c>
      <c r="F38" s="491" t="s">
        <v>819</v>
      </c>
      <c r="G38" s="499"/>
    </row>
    <row r="39" spans="1:8" ht="18">
      <c r="A39" s="498"/>
      <c r="B39" s="487">
        <v>4492</v>
      </c>
      <c r="C39" s="472" t="s">
        <v>963</v>
      </c>
      <c r="D39" s="472">
        <v>2190</v>
      </c>
      <c r="E39" s="472">
        <v>30</v>
      </c>
      <c r="F39" s="649">
        <f>D39*E39</f>
        <v>65700</v>
      </c>
      <c r="G39" s="499"/>
      <c r="H39" s="643"/>
    </row>
    <row r="40" spans="1:8" ht="22.5">
      <c r="A40" s="498"/>
      <c r="B40" s="487">
        <v>4611</v>
      </c>
      <c r="C40" s="472" t="s">
        <v>963</v>
      </c>
      <c r="D40" s="472">
        <v>4362</v>
      </c>
      <c r="E40" s="472">
        <v>50</v>
      </c>
      <c r="F40" s="649">
        <f>D40*E40</f>
        <v>218100</v>
      </c>
      <c r="G40" s="499"/>
      <c r="H40" s="371"/>
    </row>
    <row r="41" spans="1:9" ht="22.5">
      <c r="A41" s="498"/>
      <c r="B41" s="487" t="s">
        <v>969</v>
      </c>
      <c r="C41" s="472" t="s">
        <v>963</v>
      </c>
      <c r="D41" s="472">
        <v>36</v>
      </c>
      <c r="E41" s="472">
        <v>54</v>
      </c>
      <c r="F41" s="649">
        <f>D41*E41</f>
        <v>1944</v>
      </c>
      <c r="G41" s="499"/>
      <c r="H41" s="372"/>
      <c r="I41" s="372"/>
    </row>
    <row r="42" spans="1:9" ht="22.5">
      <c r="A42" s="498"/>
      <c r="B42" s="487" t="s">
        <v>970</v>
      </c>
      <c r="C42" s="472" t="s">
        <v>964</v>
      </c>
      <c r="D42" s="472">
        <v>14</v>
      </c>
      <c r="E42" s="472">
        <v>82</v>
      </c>
      <c r="F42" s="649">
        <f>D42*E42</f>
        <v>1148</v>
      </c>
      <c r="G42" s="499"/>
      <c r="H42" s="372"/>
      <c r="I42" s="372"/>
    </row>
    <row r="43" spans="1:9" ht="23.25" thickBot="1">
      <c r="A43" s="498"/>
      <c r="B43" s="489"/>
      <c r="C43" s="490"/>
      <c r="D43" s="864" t="s">
        <v>34</v>
      </c>
      <c r="E43" s="865"/>
      <c r="F43" s="650">
        <f>SUM(F39:F42)</f>
        <v>286892</v>
      </c>
      <c r="G43" s="500"/>
      <c r="H43" s="372"/>
      <c r="I43" s="372"/>
    </row>
    <row r="44" spans="1:9" ht="22.5">
      <c r="A44" s="498"/>
      <c r="B44" s="492"/>
      <c r="C44" s="492"/>
      <c r="D44" s="492"/>
      <c r="E44" s="492"/>
      <c r="F44" s="492"/>
      <c r="G44" s="499"/>
      <c r="H44" s="372"/>
      <c r="I44" s="372"/>
    </row>
    <row r="45" spans="1:9" ht="12.75" customHeight="1">
      <c r="A45" s="498"/>
      <c r="B45" s="492"/>
      <c r="C45" s="492"/>
      <c r="D45" s="492"/>
      <c r="E45" s="492"/>
      <c r="F45" s="492"/>
      <c r="G45" s="499"/>
      <c r="H45" s="372"/>
      <c r="I45" s="372"/>
    </row>
    <row r="46" spans="1:7" ht="18">
      <c r="A46" s="498"/>
      <c r="B46" s="501"/>
      <c r="C46" s="862"/>
      <c r="D46" s="862"/>
      <c r="E46" s="492"/>
      <c r="F46" s="492"/>
      <c r="G46" s="499"/>
    </row>
    <row r="47" spans="1:8" ht="22.5">
      <c r="A47" s="498"/>
      <c r="B47" s="502"/>
      <c r="C47" s="862"/>
      <c r="D47" s="862"/>
      <c r="E47" s="492"/>
      <c r="F47" s="492"/>
      <c r="G47" s="499"/>
      <c r="H47" s="376"/>
    </row>
    <row r="48" spans="1:7" ht="18.75" thickBot="1">
      <c r="A48" s="503"/>
      <c r="B48" s="504"/>
      <c r="C48" s="863"/>
      <c r="D48" s="863"/>
      <c r="E48" s="505"/>
      <c r="F48" s="505"/>
      <c r="G48" s="506"/>
    </row>
  </sheetData>
  <mergeCells count="16">
    <mergeCell ref="C47:D47"/>
    <mergeCell ref="C48:D48"/>
    <mergeCell ref="B27:F27"/>
    <mergeCell ref="D32:E32"/>
    <mergeCell ref="D43:E43"/>
    <mergeCell ref="C46:D46"/>
    <mergeCell ref="A1:G1"/>
    <mergeCell ref="A2:F3"/>
    <mergeCell ref="B19:F19"/>
    <mergeCell ref="B34:F34"/>
    <mergeCell ref="B7:F7"/>
    <mergeCell ref="D12:E12"/>
    <mergeCell ref="B13:F13"/>
    <mergeCell ref="D17:E17"/>
    <mergeCell ref="B20:F20"/>
    <mergeCell ref="D26:E26"/>
  </mergeCells>
  <printOptions horizontalCentered="1"/>
  <pageMargins left="0.34" right="0.29" top="0.82" bottom="0.99" header="0.39" footer="0.57"/>
  <pageSetup fitToHeight="1" fitToWidth="1" horizontalDpi="300" verticalDpi="300" orientation="portrait" scale="64" r:id="rId1"/>
  <headerFooter alignWithMargins="0">
    <oddHeader>&amp;L&amp;16MIS-8&amp;R&amp;16May 2008</oddHeader>
    <oddFooter>&amp;C&amp;16Company Name</oddFoot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I21"/>
  <sheetViews>
    <sheetView zoomScaleSheetLayoutView="100" workbookViewId="0" topLeftCell="A1">
      <selection activeCell="E25" sqref="E25"/>
    </sheetView>
  </sheetViews>
  <sheetFormatPr defaultColWidth="9.140625" defaultRowHeight="12.75"/>
  <cols>
    <col min="1" max="1" width="6.421875" style="329" customWidth="1"/>
    <col min="2" max="2" width="32.00390625" style="329" customWidth="1"/>
    <col min="3" max="3" width="12.8515625" style="329" bestFit="1" customWidth="1"/>
    <col min="4" max="5" width="13.8515625" style="329" customWidth="1"/>
    <col min="6" max="6" width="14.7109375" style="329" customWidth="1"/>
    <col min="7" max="7" width="12.57421875" style="329" customWidth="1"/>
    <col min="8" max="8" width="13.00390625" style="329" customWidth="1"/>
    <col min="9" max="9" width="13.28125" style="329" customWidth="1"/>
    <col min="10" max="16384" width="9.140625" style="329" customWidth="1"/>
  </cols>
  <sheetData>
    <row r="1" spans="1:9" ht="12.75">
      <c r="A1" s="539"/>
      <c r="B1" s="539"/>
      <c r="C1" s="539"/>
      <c r="D1" s="539"/>
      <c r="E1" s="539"/>
      <c r="F1" s="539"/>
      <c r="G1" s="539"/>
      <c r="H1" s="539"/>
      <c r="I1" s="539"/>
    </row>
    <row r="2" spans="1:9" ht="12.75">
      <c r="A2" s="307"/>
      <c r="B2" s="307"/>
      <c r="C2" s="307"/>
      <c r="D2" s="307" t="s">
        <v>1044</v>
      </c>
      <c r="E2" s="307"/>
      <c r="F2" s="307"/>
      <c r="G2" s="307"/>
      <c r="H2" s="307"/>
      <c r="I2" s="307"/>
    </row>
    <row r="3" spans="1:9" ht="12.75">
      <c r="A3" s="307"/>
      <c r="B3" s="307"/>
      <c r="C3" s="307"/>
      <c r="D3" s="307" t="s">
        <v>991</v>
      </c>
      <c r="E3" s="307"/>
      <c r="F3" s="307"/>
      <c r="G3" s="307"/>
      <c r="H3" s="321"/>
      <c r="I3" s="321"/>
    </row>
    <row r="4" spans="1:9" ht="12.75">
      <c r="A4" s="378"/>
      <c r="B4" s="308"/>
      <c r="C4" s="309" t="s">
        <v>838</v>
      </c>
      <c r="D4" s="866" t="s">
        <v>990</v>
      </c>
      <c r="E4" s="867"/>
      <c r="F4" s="867"/>
      <c r="G4" s="867"/>
      <c r="H4" s="867"/>
      <c r="I4" s="868"/>
    </row>
    <row r="5" spans="1:9" ht="12.75">
      <c r="A5" s="310" t="s">
        <v>839</v>
      </c>
      <c r="B5" s="311" t="s">
        <v>178</v>
      </c>
      <c r="C5" s="309" t="s">
        <v>3</v>
      </c>
      <c r="D5" s="312" t="s">
        <v>840</v>
      </c>
      <c r="E5" s="312" t="s">
        <v>841</v>
      </c>
      <c r="F5" s="313" t="s">
        <v>842</v>
      </c>
      <c r="G5" s="314" t="s">
        <v>843</v>
      </c>
      <c r="H5" s="314" t="s">
        <v>844</v>
      </c>
      <c r="I5" s="314" t="s">
        <v>845</v>
      </c>
    </row>
    <row r="6" spans="1:9" ht="12.75">
      <c r="A6" s="315">
        <v>1</v>
      </c>
      <c r="B6" s="316" t="s">
        <v>1041</v>
      </c>
      <c r="C6" s="706"/>
      <c r="D6" s="315"/>
      <c r="E6" s="317"/>
      <c r="F6" s="707"/>
      <c r="G6" s="708"/>
      <c r="H6" s="709"/>
      <c r="I6" s="709"/>
    </row>
    <row r="7" spans="1:9" ht="12.75">
      <c r="A7" s="327">
        <v>1</v>
      </c>
      <c r="B7" s="328"/>
      <c r="C7" s="710">
        <v>52408.5</v>
      </c>
      <c r="D7" s="711">
        <v>4270</v>
      </c>
      <c r="E7" s="711">
        <v>12936</v>
      </c>
      <c r="F7" s="712">
        <v>15960</v>
      </c>
      <c r="G7" s="713">
        <v>19242.5</v>
      </c>
      <c r="H7" s="714"/>
      <c r="I7" s="715"/>
    </row>
    <row r="8" spans="1:9" ht="12.75">
      <c r="A8" s="327">
        <f aca="true" t="shared" si="0" ref="A8:A13">1+A7</f>
        <v>2</v>
      </c>
      <c r="B8" s="328"/>
      <c r="C8" s="710">
        <v>5327</v>
      </c>
      <c r="D8" s="711">
        <v>1876</v>
      </c>
      <c r="E8" s="711">
        <v>3451</v>
      </c>
      <c r="F8" s="716"/>
      <c r="G8" s="717"/>
      <c r="H8" s="718"/>
      <c r="I8" s="715"/>
    </row>
    <row r="9" spans="1:9" ht="12.75">
      <c r="A9" s="327">
        <f t="shared" si="0"/>
        <v>3</v>
      </c>
      <c r="B9" s="328"/>
      <c r="C9" s="719">
        <v>440</v>
      </c>
      <c r="D9" s="711"/>
      <c r="E9" s="711"/>
      <c r="F9" s="711"/>
      <c r="G9" s="711"/>
      <c r="H9" s="711">
        <v>440</v>
      </c>
      <c r="I9" s="715"/>
    </row>
    <row r="10" spans="1:9" ht="12.75">
      <c r="A10" s="327">
        <f t="shared" si="0"/>
        <v>4</v>
      </c>
      <c r="B10" s="328"/>
      <c r="C10" s="719">
        <v>75460</v>
      </c>
      <c r="D10" s="720"/>
      <c r="E10" s="720">
        <v>75460</v>
      </c>
      <c r="F10" s="720"/>
      <c r="G10" s="721"/>
      <c r="H10" s="720"/>
      <c r="I10" s="715"/>
    </row>
    <row r="11" spans="1:9" ht="12.75">
      <c r="A11" s="327">
        <f t="shared" si="0"/>
        <v>5</v>
      </c>
      <c r="B11" s="322"/>
      <c r="C11" s="722">
        <v>281628</v>
      </c>
      <c r="D11" s="723">
        <v>31134</v>
      </c>
      <c r="E11" s="723">
        <v>64766</v>
      </c>
      <c r="F11" s="724">
        <v>29580</v>
      </c>
      <c r="G11" s="725">
        <v>156148</v>
      </c>
      <c r="H11" s="724"/>
      <c r="I11" s="724"/>
    </row>
    <row r="12" spans="1:9" ht="12.75">
      <c r="A12" s="327">
        <f t="shared" si="0"/>
        <v>6</v>
      </c>
      <c r="B12" s="322"/>
      <c r="C12" s="722">
        <v>322</v>
      </c>
      <c r="D12" s="723"/>
      <c r="E12" s="723"/>
      <c r="F12" s="711"/>
      <c r="G12" s="726"/>
      <c r="H12" s="726">
        <v>322</v>
      </c>
      <c r="I12" s="724"/>
    </row>
    <row r="13" spans="1:9" ht="12.75">
      <c r="A13" s="327">
        <f t="shared" si="0"/>
        <v>7</v>
      </c>
      <c r="B13" s="322"/>
      <c r="C13" s="722">
        <v>66226</v>
      </c>
      <c r="D13" s="723">
        <v>65722</v>
      </c>
      <c r="E13" s="723"/>
      <c r="F13" s="723"/>
      <c r="G13" s="723">
        <v>266</v>
      </c>
      <c r="H13" s="723">
        <v>238</v>
      </c>
      <c r="I13" s="724"/>
    </row>
    <row r="14" spans="1:9" ht="13.5" thickBot="1">
      <c r="A14" s="319"/>
      <c r="B14" s="319"/>
      <c r="C14" s="728">
        <f aca="true" t="shared" si="1" ref="C14:I14">SUM(C7:C13)</f>
        <v>481811.5</v>
      </c>
      <c r="D14" s="729">
        <f t="shared" si="1"/>
        <v>103002</v>
      </c>
      <c r="E14" s="730">
        <f t="shared" si="1"/>
        <v>156613</v>
      </c>
      <c r="F14" s="729">
        <f t="shared" si="1"/>
        <v>45540</v>
      </c>
      <c r="G14" s="731">
        <f t="shared" si="1"/>
        <v>175656.5</v>
      </c>
      <c r="H14" s="729">
        <f t="shared" si="1"/>
        <v>1000</v>
      </c>
      <c r="I14" s="732">
        <f t="shared" si="1"/>
        <v>0</v>
      </c>
    </row>
    <row r="15" spans="1:9" ht="13.5" thickTop="1">
      <c r="A15" s="317">
        <v>2</v>
      </c>
      <c r="B15" s="316" t="s">
        <v>1042</v>
      </c>
      <c r="C15" s="740"/>
      <c r="D15" s="734"/>
      <c r="E15" s="734"/>
      <c r="F15" s="716"/>
      <c r="G15" s="716"/>
      <c r="H15" s="716"/>
      <c r="I15" s="716"/>
    </row>
    <row r="16" spans="1:9" ht="12.75">
      <c r="A16" s="318">
        <v>1</v>
      </c>
      <c r="B16" s="103"/>
      <c r="C16" s="719">
        <v>1688</v>
      </c>
      <c r="D16" s="712"/>
      <c r="E16" s="712"/>
      <c r="F16" s="712"/>
      <c r="G16" s="712"/>
      <c r="H16" s="712"/>
      <c r="I16" s="712">
        <v>1688</v>
      </c>
    </row>
    <row r="17" spans="1:9" ht="12.75">
      <c r="A17" s="318">
        <v>2</v>
      </c>
      <c r="B17" s="332"/>
      <c r="C17" s="722">
        <v>13166</v>
      </c>
      <c r="D17" s="733"/>
      <c r="E17" s="733"/>
      <c r="F17" s="733">
        <v>1000</v>
      </c>
      <c r="G17" s="733">
        <v>12136</v>
      </c>
      <c r="H17" s="724">
        <v>30</v>
      </c>
      <c r="I17" s="712"/>
    </row>
    <row r="18" spans="1:9" ht="12.75">
      <c r="A18" s="318">
        <v>3</v>
      </c>
      <c r="B18" s="322"/>
      <c r="C18" s="722">
        <v>9420.45</v>
      </c>
      <c r="D18" s="723"/>
      <c r="E18" s="727"/>
      <c r="F18" s="723"/>
      <c r="G18" s="725"/>
      <c r="H18" s="725"/>
      <c r="I18" s="724">
        <v>9420.45</v>
      </c>
    </row>
    <row r="19" spans="1:9" ht="12.75">
      <c r="A19" s="326">
        <v>4</v>
      </c>
      <c r="B19" s="332"/>
      <c r="C19" s="722">
        <v>9955</v>
      </c>
      <c r="D19" s="733"/>
      <c r="E19" s="733"/>
      <c r="F19" s="712"/>
      <c r="G19" s="712"/>
      <c r="H19" s="712"/>
      <c r="I19" s="712">
        <f>C19</f>
        <v>9955</v>
      </c>
    </row>
    <row r="20" spans="1:9" ht="12.75">
      <c r="A20" s="330"/>
      <c r="B20" s="331"/>
      <c r="C20" s="735">
        <f>SUM(C16:C19)</f>
        <v>34229.45</v>
      </c>
      <c r="D20" s="736">
        <f>D17</f>
        <v>0</v>
      </c>
      <c r="E20" s="737">
        <f>E17</f>
        <v>0</v>
      </c>
      <c r="F20" s="737">
        <f>F17</f>
        <v>1000</v>
      </c>
      <c r="G20" s="738">
        <f>G17</f>
        <v>12136</v>
      </c>
      <c r="H20" s="737">
        <f>SUM(H16:H19)</f>
        <v>30</v>
      </c>
      <c r="I20" s="737">
        <f>SUM(I16:I19)</f>
        <v>21063.45</v>
      </c>
    </row>
    <row r="21" spans="1:9" ht="12.75">
      <c r="A21" s="320"/>
      <c r="B21" s="333" t="s">
        <v>859</v>
      </c>
      <c r="C21" s="739">
        <f aca="true" t="shared" si="2" ref="C21:I21">+C20+C14</f>
        <v>516040.95</v>
      </c>
      <c r="D21" s="739">
        <f t="shared" si="2"/>
        <v>103002</v>
      </c>
      <c r="E21" s="739">
        <f t="shared" si="2"/>
        <v>156613</v>
      </c>
      <c r="F21" s="739">
        <f t="shared" si="2"/>
        <v>46540</v>
      </c>
      <c r="G21" s="739">
        <f t="shared" si="2"/>
        <v>187792.5</v>
      </c>
      <c r="H21" s="739">
        <f t="shared" si="2"/>
        <v>1030</v>
      </c>
      <c r="I21" s="739">
        <f t="shared" si="2"/>
        <v>21063.45</v>
      </c>
    </row>
  </sheetData>
  <mergeCells count="1">
    <mergeCell ref="D4:I4"/>
  </mergeCells>
  <printOptions/>
  <pageMargins left="0.4" right="0.35" top="1" bottom="1" header="0.5" footer="0.5"/>
  <pageSetup horizontalDpi="300" verticalDpi="300" orientation="landscape" scale="89" r:id="rId1"/>
  <headerFooter alignWithMargins="0">
    <oddHeader>&amp;L&amp;16MIS-9&amp;R&amp;16May 2008</oddHeader>
    <oddFooter>&amp;C&amp;14Company Name here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I63"/>
  <sheetViews>
    <sheetView view="pageBreakPreview" zoomScale="85" zoomScaleNormal="85" zoomScaleSheetLayoutView="85" workbookViewId="0" topLeftCell="A1">
      <selection activeCell="A4" sqref="A4:I4"/>
    </sheetView>
  </sheetViews>
  <sheetFormatPr defaultColWidth="9.140625" defaultRowHeight="12.75"/>
  <cols>
    <col min="1" max="1" width="9.28125" style="562" bestFit="1" customWidth="1"/>
    <col min="2" max="2" width="49.421875" style="562" bestFit="1" customWidth="1"/>
    <col min="3" max="3" width="14.57421875" style="562" customWidth="1"/>
    <col min="4" max="5" width="15.57421875" style="562" bestFit="1" customWidth="1"/>
    <col min="6" max="6" width="15.140625" style="562" bestFit="1" customWidth="1"/>
    <col min="7" max="7" width="13.28125" style="562" bestFit="1" customWidth="1"/>
    <col min="8" max="8" width="14.421875" style="562" bestFit="1" customWidth="1"/>
    <col min="9" max="9" width="15.28125" style="562" bestFit="1" customWidth="1"/>
    <col min="10" max="16384" width="9.140625" style="562" customWidth="1"/>
  </cols>
  <sheetData>
    <row r="1" ht="13.5" thickBot="1"/>
    <row r="2" spans="1:9" ht="12.75">
      <c r="A2" s="588"/>
      <c r="B2" s="589"/>
      <c r="C2" s="589"/>
      <c r="D2" s="589"/>
      <c r="E2" s="589"/>
      <c r="F2" s="589"/>
      <c r="G2" s="589"/>
      <c r="H2" s="589"/>
      <c r="I2" s="590"/>
    </row>
    <row r="3" spans="1:9" ht="12.75">
      <c r="A3" s="869" t="s">
        <v>1043</v>
      </c>
      <c r="B3" s="870"/>
      <c r="C3" s="870"/>
      <c r="D3" s="870"/>
      <c r="E3" s="870"/>
      <c r="F3" s="870"/>
      <c r="G3" s="870"/>
      <c r="H3" s="870"/>
      <c r="I3" s="871"/>
    </row>
    <row r="4" spans="1:9" ht="12.75">
      <c r="A4" s="869" t="s">
        <v>1029</v>
      </c>
      <c r="B4" s="870"/>
      <c r="C4" s="870"/>
      <c r="D4" s="870"/>
      <c r="E4" s="870"/>
      <c r="F4" s="870"/>
      <c r="G4" s="870"/>
      <c r="H4" s="870"/>
      <c r="I4" s="871"/>
    </row>
    <row r="5" ht="13.5" thickBot="1"/>
    <row r="6" spans="1:9" ht="16.5">
      <c r="A6" s="666" t="s">
        <v>992</v>
      </c>
      <c r="B6" s="667" t="s">
        <v>178</v>
      </c>
      <c r="C6" s="564" t="s">
        <v>993</v>
      </c>
      <c r="D6" s="668"/>
      <c r="E6" s="668"/>
      <c r="F6" s="669"/>
      <c r="G6" s="670"/>
      <c r="H6" s="670"/>
      <c r="I6" s="671"/>
    </row>
    <row r="7" spans="1:9" ht="16.5">
      <c r="A7" s="653"/>
      <c r="B7" s="652"/>
      <c r="C7" s="565" t="s">
        <v>994</v>
      </c>
      <c r="D7" s="566" t="s">
        <v>995</v>
      </c>
      <c r="E7" s="567" t="s">
        <v>996</v>
      </c>
      <c r="F7" s="567" t="s">
        <v>842</v>
      </c>
      <c r="G7" s="568" t="s">
        <v>843</v>
      </c>
      <c r="H7" s="568" t="s">
        <v>844</v>
      </c>
      <c r="I7" s="591" t="s">
        <v>845</v>
      </c>
    </row>
    <row r="8" spans="1:9" ht="16.5">
      <c r="A8" s="592" t="s">
        <v>418</v>
      </c>
      <c r="B8" s="569" t="s">
        <v>997</v>
      </c>
      <c r="C8" s="672"/>
      <c r="D8" s="673"/>
      <c r="E8" s="674"/>
      <c r="F8" s="674"/>
      <c r="G8" s="675"/>
      <c r="H8" s="675"/>
      <c r="I8" s="676"/>
    </row>
    <row r="9" spans="1:9" ht="16.5">
      <c r="A9" s="593">
        <v>1</v>
      </c>
      <c r="B9" s="570" t="s">
        <v>998</v>
      </c>
      <c r="C9" s="631">
        <v>12242</v>
      </c>
      <c r="D9" s="632">
        <v>12242</v>
      </c>
      <c r="E9" s="677"/>
      <c r="F9" s="677"/>
      <c r="G9" s="677"/>
      <c r="H9" s="677"/>
      <c r="I9" s="678"/>
    </row>
    <row r="10" spans="1:9" ht="17.25" thickBot="1">
      <c r="A10" s="593"/>
      <c r="B10" s="570"/>
      <c r="C10" s="633">
        <f>C9</f>
        <v>12242</v>
      </c>
      <c r="D10" s="634">
        <f>D9</f>
        <v>12242</v>
      </c>
      <c r="E10" s="679"/>
      <c r="F10" s="679"/>
      <c r="G10" s="679"/>
      <c r="H10" s="679"/>
      <c r="I10" s="680"/>
    </row>
    <row r="11" spans="1:9" ht="18" thickBot="1" thickTop="1">
      <c r="A11" s="571" t="s">
        <v>424</v>
      </c>
      <c r="B11" s="572" t="s">
        <v>999</v>
      </c>
      <c r="C11" s="681"/>
      <c r="D11" s="682"/>
      <c r="E11" s="682"/>
      <c r="F11" s="682"/>
      <c r="G11" s="682"/>
      <c r="H11" s="682"/>
      <c r="I11" s="683"/>
    </row>
    <row r="12" spans="1:9" ht="17.25" thickTop="1">
      <c r="A12" s="573">
        <v>1</v>
      </c>
      <c r="B12" s="574"/>
      <c r="C12" s="681">
        <v>105573</v>
      </c>
      <c r="D12" s="684">
        <v>32884</v>
      </c>
      <c r="E12" s="684"/>
      <c r="F12" s="684">
        <v>37674</v>
      </c>
      <c r="G12" s="684">
        <v>35015</v>
      </c>
      <c r="H12" s="684"/>
      <c r="I12" s="685"/>
    </row>
    <row r="13" spans="1:9" ht="16.5">
      <c r="A13" s="573">
        <v>2</v>
      </c>
      <c r="B13" s="574"/>
      <c r="C13" s="686">
        <v>25516</v>
      </c>
      <c r="D13" s="684">
        <v>2613</v>
      </c>
      <c r="E13" s="684">
        <v>20350</v>
      </c>
      <c r="F13" s="684">
        <v>2501</v>
      </c>
      <c r="G13" s="684">
        <v>52</v>
      </c>
      <c r="H13" s="684"/>
      <c r="I13" s="685"/>
    </row>
    <row r="14" spans="1:9" ht="16.5">
      <c r="A14" s="573">
        <f>1+A13</f>
        <v>3</v>
      </c>
      <c r="B14" s="563"/>
      <c r="C14" s="686">
        <v>31465.01</v>
      </c>
      <c r="D14" s="684">
        <v>31465.01</v>
      </c>
      <c r="E14" s="684"/>
      <c r="F14" s="684"/>
      <c r="G14" s="684"/>
      <c r="H14" s="684"/>
      <c r="I14" s="685"/>
    </row>
    <row r="15" spans="1:9" ht="16.5">
      <c r="A15" s="573">
        <f>1+A14</f>
        <v>4</v>
      </c>
      <c r="B15" s="563"/>
      <c r="C15" s="686">
        <v>2583</v>
      </c>
      <c r="D15" s="684"/>
      <c r="E15" s="684"/>
      <c r="F15" s="684"/>
      <c r="G15" s="684"/>
      <c r="H15" s="684"/>
      <c r="I15" s="685">
        <v>2583</v>
      </c>
    </row>
    <row r="16" spans="1:9" ht="16.5">
      <c r="A16" s="573">
        <f>1+A15</f>
        <v>5</v>
      </c>
      <c r="B16" s="563"/>
      <c r="C16" s="686">
        <v>260</v>
      </c>
      <c r="D16" s="684">
        <v>260</v>
      </c>
      <c r="E16" s="684"/>
      <c r="F16" s="684"/>
      <c r="G16" s="684"/>
      <c r="H16" s="684"/>
      <c r="I16" s="685"/>
    </row>
    <row r="17" spans="1:9" ht="16.5">
      <c r="A17" s="573">
        <f>1+A16</f>
        <v>6</v>
      </c>
      <c r="B17" s="563"/>
      <c r="C17" s="686">
        <v>181239</v>
      </c>
      <c r="D17" s="684"/>
      <c r="E17" s="684">
        <v>25696</v>
      </c>
      <c r="F17" s="684">
        <v>40156</v>
      </c>
      <c r="G17" s="684">
        <v>115387</v>
      </c>
      <c r="H17" s="684"/>
      <c r="I17" s="685"/>
    </row>
    <row r="18" spans="1:9" ht="17.25" thickBot="1">
      <c r="A18" s="573"/>
      <c r="B18" s="575" t="s">
        <v>1000</v>
      </c>
      <c r="C18" s="688">
        <f aca="true" t="shared" si="0" ref="C18:I18">SUM(C12:C17)</f>
        <v>346636.01</v>
      </c>
      <c r="D18" s="689">
        <f t="shared" si="0"/>
        <v>67222.01</v>
      </c>
      <c r="E18" s="689">
        <f t="shared" si="0"/>
        <v>46046</v>
      </c>
      <c r="F18" s="689">
        <f t="shared" si="0"/>
        <v>80331</v>
      </c>
      <c r="G18" s="689">
        <f t="shared" si="0"/>
        <v>150454</v>
      </c>
      <c r="H18" s="689">
        <f t="shared" si="0"/>
        <v>0</v>
      </c>
      <c r="I18" s="690">
        <f t="shared" si="0"/>
        <v>2583</v>
      </c>
    </row>
    <row r="19" spans="1:9" ht="18" thickBot="1" thickTop="1">
      <c r="A19" s="571" t="s">
        <v>429</v>
      </c>
      <c r="B19" s="572" t="s">
        <v>187</v>
      </c>
      <c r="C19" s="681"/>
      <c r="D19" s="682"/>
      <c r="E19" s="682"/>
      <c r="F19" s="682"/>
      <c r="G19" s="682"/>
      <c r="H19" s="682"/>
      <c r="I19" s="683"/>
    </row>
    <row r="20" spans="1:9" ht="17.25" thickTop="1">
      <c r="A20" s="573">
        <v>1</v>
      </c>
      <c r="B20" s="576"/>
      <c r="C20" s="635">
        <v>37991</v>
      </c>
      <c r="D20" s="682">
        <v>37991</v>
      </c>
      <c r="E20" s="682"/>
      <c r="F20" s="682"/>
      <c r="G20" s="682"/>
      <c r="H20" s="682"/>
      <c r="I20" s="683"/>
    </row>
    <row r="21" spans="1:9" ht="16.5">
      <c r="A21" s="573">
        <f>1+A20</f>
        <v>2</v>
      </c>
      <c r="B21" s="576"/>
      <c r="C21" s="635">
        <v>16433</v>
      </c>
      <c r="D21" s="682">
        <v>16433</v>
      </c>
      <c r="E21" s="682"/>
      <c r="F21" s="682"/>
      <c r="G21" s="682"/>
      <c r="H21" s="682"/>
      <c r="I21" s="683"/>
    </row>
    <row r="22" spans="1:9" ht="16.5">
      <c r="A22" s="573">
        <f aca="true" t="shared" si="1" ref="A22:A27">1+A21</f>
        <v>3</v>
      </c>
      <c r="B22" s="576"/>
      <c r="C22" s="635">
        <v>47349.5</v>
      </c>
      <c r="D22" s="682">
        <v>47349.5</v>
      </c>
      <c r="E22" s="682"/>
      <c r="F22" s="682"/>
      <c r="G22" s="682"/>
      <c r="H22" s="682"/>
      <c r="I22" s="683"/>
    </row>
    <row r="23" spans="1:9" ht="16.5">
      <c r="A23" s="573">
        <v>4</v>
      </c>
      <c r="B23" s="576"/>
      <c r="C23" s="635">
        <v>18977</v>
      </c>
      <c r="D23" s="682">
        <v>18977</v>
      </c>
      <c r="E23" s="682"/>
      <c r="F23" s="682"/>
      <c r="G23" s="682"/>
      <c r="H23" s="682"/>
      <c r="I23" s="683"/>
    </row>
    <row r="24" spans="1:9" ht="16.5">
      <c r="A24" s="573">
        <f t="shared" si="1"/>
        <v>5</v>
      </c>
      <c r="B24" s="576"/>
      <c r="C24" s="635">
        <v>60924.5</v>
      </c>
      <c r="D24" s="682">
        <v>60924.5</v>
      </c>
      <c r="E24" s="682"/>
      <c r="F24" s="682"/>
      <c r="G24" s="682"/>
      <c r="H24" s="682"/>
      <c r="I24" s="683"/>
    </row>
    <row r="25" spans="1:9" ht="16.5">
      <c r="A25" s="573">
        <f t="shared" si="1"/>
        <v>6</v>
      </c>
      <c r="B25" s="576"/>
      <c r="C25" s="639">
        <v>1144</v>
      </c>
      <c r="D25" s="684"/>
      <c r="E25" s="684"/>
      <c r="F25" s="684"/>
      <c r="G25" s="684"/>
      <c r="H25" s="684"/>
      <c r="I25" s="685">
        <v>1144</v>
      </c>
    </row>
    <row r="26" spans="1:9" ht="16.5">
      <c r="A26" s="573">
        <f t="shared" si="1"/>
        <v>7</v>
      </c>
      <c r="B26" s="576"/>
      <c r="C26" s="640">
        <v>53715</v>
      </c>
      <c r="D26" s="691"/>
      <c r="E26" s="691">
        <v>53715</v>
      </c>
      <c r="F26" s="691"/>
      <c r="G26" s="691"/>
      <c r="H26" s="691"/>
      <c r="I26" s="692"/>
    </row>
    <row r="27" spans="1:9" ht="16.5">
      <c r="A27" s="573">
        <f t="shared" si="1"/>
        <v>8</v>
      </c>
      <c r="B27" s="576"/>
      <c r="C27" s="640">
        <v>59596</v>
      </c>
      <c r="D27" s="691"/>
      <c r="E27" s="691"/>
      <c r="F27" s="691"/>
      <c r="G27" s="691">
        <v>59596</v>
      </c>
      <c r="H27" s="691"/>
      <c r="I27" s="692"/>
    </row>
    <row r="28" spans="1:9" ht="16.5">
      <c r="A28" s="573">
        <v>9</v>
      </c>
      <c r="B28" s="576"/>
      <c r="C28" s="640">
        <v>11012</v>
      </c>
      <c r="D28" s="691">
        <v>11012</v>
      </c>
      <c r="E28" s="691"/>
      <c r="F28" s="691"/>
      <c r="G28" s="691"/>
      <c r="H28" s="691"/>
      <c r="I28" s="692"/>
    </row>
    <row r="29" spans="1:9" ht="17.25" thickBot="1">
      <c r="A29" s="594"/>
      <c r="B29" s="595" t="s">
        <v>1000</v>
      </c>
      <c r="C29" s="693">
        <f>SUM(C20:C28)</f>
        <v>307142</v>
      </c>
      <c r="D29" s="694">
        <f>SUM(D20:D28)</f>
        <v>192687</v>
      </c>
      <c r="E29" s="694">
        <f>SUM(E25:E27)</f>
        <v>53715</v>
      </c>
      <c r="F29" s="694">
        <f>SUM(F25:F27)</f>
        <v>0</v>
      </c>
      <c r="G29" s="694">
        <f>G27</f>
        <v>59596</v>
      </c>
      <c r="H29" s="694">
        <f>SUM(H25:H27)</f>
        <v>0</v>
      </c>
      <c r="I29" s="695">
        <f>SUM(I25:I25)</f>
        <v>1144</v>
      </c>
    </row>
    <row r="30" spans="1:9" ht="17.25" thickBot="1">
      <c r="A30" s="596" t="s">
        <v>431</v>
      </c>
      <c r="B30" s="597" t="s">
        <v>1001</v>
      </c>
      <c r="C30" s="696"/>
      <c r="D30" s="697"/>
      <c r="E30" s="697"/>
      <c r="F30" s="697"/>
      <c r="G30" s="697"/>
      <c r="H30" s="697"/>
      <c r="I30" s="698"/>
    </row>
    <row r="31" spans="1:9" ht="17.25" thickTop="1">
      <c r="A31" s="573">
        <v>1</v>
      </c>
      <c r="B31" s="577"/>
      <c r="C31" s="687">
        <v>26904</v>
      </c>
      <c r="D31" s="684">
        <v>13452</v>
      </c>
      <c r="E31" s="684"/>
      <c r="F31" s="684">
        <v>6726</v>
      </c>
      <c r="G31" s="684">
        <v>6726</v>
      </c>
      <c r="H31" s="637"/>
      <c r="I31" s="685"/>
    </row>
    <row r="32" spans="1:9" ht="17.25" thickBot="1">
      <c r="A32" s="573"/>
      <c r="B32" s="575" t="s">
        <v>1000</v>
      </c>
      <c r="C32" s="688">
        <f>C31</f>
        <v>26904</v>
      </c>
      <c r="D32" s="689">
        <f>D31</f>
        <v>13452</v>
      </c>
      <c r="E32" s="689">
        <f>E31</f>
        <v>0</v>
      </c>
      <c r="F32" s="689">
        <f>SUM(F31:F31)</f>
        <v>6726</v>
      </c>
      <c r="G32" s="689">
        <f>G31</f>
        <v>6726</v>
      </c>
      <c r="H32" s="689"/>
      <c r="I32" s="690">
        <f>SUM(I31:I31)</f>
        <v>0</v>
      </c>
    </row>
    <row r="33" spans="1:9" ht="18" thickBot="1" thickTop="1">
      <c r="A33" s="571" t="s">
        <v>432</v>
      </c>
      <c r="B33" s="699" t="s">
        <v>1002</v>
      </c>
      <c r="C33" s="681"/>
      <c r="D33" s="682"/>
      <c r="E33" s="682"/>
      <c r="F33" s="682"/>
      <c r="G33" s="682"/>
      <c r="H33" s="682"/>
      <c r="I33" s="683"/>
    </row>
    <row r="34" spans="1:9" ht="17.25" thickTop="1">
      <c r="A34" s="578">
        <v>1</v>
      </c>
      <c r="B34" s="700"/>
      <c r="C34" s="681">
        <v>52216</v>
      </c>
      <c r="D34" s="684">
        <v>52216</v>
      </c>
      <c r="E34" s="684"/>
      <c r="F34" s="684"/>
      <c r="G34" s="684"/>
      <c r="H34" s="684"/>
      <c r="I34" s="685"/>
    </row>
    <row r="35" spans="1:9" ht="16.5">
      <c r="A35" s="578">
        <f>1+A34</f>
        <v>2</v>
      </c>
      <c r="B35" s="584"/>
      <c r="C35" s="681">
        <v>20215</v>
      </c>
      <c r="D35" s="684">
        <v>343</v>
      </c>
      <c r="E35" s="637"/>
      <c r="F35" s="684">
        <v>10800</v>
      </c>
      <c r="G35" s="684">
        <v>9072</v>
      </c>
      <c r="H35" s="684"/>
      <c r="I35" s="685"/>
    </row>
    <row r="36" spans="1:9" ht="16.5">
      <c r="A36" s="578">
        <f aca="true" t="shared" si="2" ref="A36:A42">1+A35</f>
        <v>3</v>
      </c>
      <c r="B36" s="584"/>
      <c r="C36" s="681">
        <v>7480</v>
      </c>
      <c r="D36" s="684"/>
      <c r="E36" s="684"/>
      <c r="F36" s="684"/>
      <c r="G36" s="684"/>
      <c r="H36" s="637"/>
      <c r="I36" s="638">
        <v>7480</v>
      </c>
    </row>
    <row r="37" spans="1:9" ht="16.5">
      <c r="A37" s="578">
        <v>4</v>
      </c>
      <c r="B37" s="584"/>
      <c r="C37" s="681">
        <v>777827</v>
      </c>
      <c r="D37" s="684">
        <v>777827</v>
      </c>
      <c r="E37" s="684"/>
      <c r="F37" s="684"/>
      <c r="G37" s="684"/>
      <c r="H37" s="637"/>
      <c r="I37" s="638"/>
    </row>
    <row r="38" spans="1:9" ht="16.5">
      <c r="A38" s="578">
        <f t="shared" si="2"/>
        <v>5</v>
      </c>
      <c r="B38" s="584"/>
      <c r="C38" s="681">
        <v>3672</v>
      </c>
      <c r="D38" s="684"/>
      <c r="E38" s="684"/>
      <c r="F38" s="684"/>
      <c r="G38" s="684"/>
      <c r="H38" s="684"/>
      <c r="I38" s="685">
        <v>3672</v>
      </c>
    </row>
    <row r="39" spans="1:9" ht="16.5">
      <c r="A39" s="578">
        <f t="shared" si="2"/>
        <v>6</v>
      </c>
      <c r="B39" s="584"/>
      <c r="C39" s="681">
        <v>745</v>
      </c>
      <c r="D39" s="684"/>
      <c r="E39" s="684"/>
      <c r="F39" s="684"/>
      <c r="G39" s="684"/>
      <c r="H39" s="684">
        <v>745</v>
      </c>
      <c r="I39" s="685"/>
    </row>
    <row r="40" spans="1:9" ht="16.5">
      <c r="A40" s="578">
        <f t="shared" si="2"/>
        <v>7</v>
      </c>
      <c r="B40" s="584"/>
      <c r="C40" s="681">
        <v>1913</v>
      </c>
      <c r="D40" s="684"/>
      <c r="E40" s="684">
        <v>1913</v>
      </c>
      <c r="F40" s="684"/>
      <c r="G40" s="684"/>
      <c r="H40" s="684"/>
      <c r="I40" s="685"/>
    </row>
    <row r="41" spans="1:9" ht="16.5">
      <c r="A41" s="578">
        <f t="shared" si="2"/>
        <v>8</v>
      </c>
      <c r="B41" s="584"/>
      <c r="C41" s="681">
        <v>27345</v>
      </c>
      <c r="D41" s="684"/>
      <c r="E41" s="684"/>
      <c r="F41" s="684">
        <v>11433</v>
      </c>
      <c r="G41" s="684">
        <v>15912</v>
      </c>
      <c r="H41" s="684"/>
      <c r="I41" s="685"/>
    </row>
    <row r="42" spans="1:9" ht="16.5">
      <c r="A42" s="578">
        <f t="shared" si="2"/>
        <v>9</v>
      </c>
      <c r="B42" s="584"/>
      <c r="C42" s="681">
        <v>12210</v>
      </c>
      <c r="D42" s="684">
        <v>8988</v>
      </c>
      <c r="E42" s="684"/>
      <c r="F42" s="684"/>
      <c r="G42" s="684">
        <v>3222</v>
      </c>
      <c r="H42" s="684"/>
      <c r="I42" s="685"/>
    </row>
    <row r="43" spans="1:9" ht="17.25" thickBot="1">
      <c r="A43" s="701"/>
      <c r="B43" s="585" t="s">
        <v>1000</v>
      </c>
      <c r="C43" s="688">
        <f aca="true" t="shared" si="3" ref="C43:I43">SUM(C34:C42)</f>
        <v>903623</v>
      </c>
      <c r="D43" s="689">
        <f t="shared" si="3"/>
        <v>839374</v>
      </c>
      <c r="E43" s="689">
        <f t="shared" si="3"/>
        <v>1913</v>
      </c>
      <c r="F43" s="689">
        <f t="shared" si="3"/>
        <v>22233</v>
      </c>
      <c r="G43" s="689">
        <f t="shared" si="3"/>
        <v>28206</v>
      </c>
      <c r="H43" s="689">
        <f t="shared" si="3"/>
        <v>745</v>
      </c>
      <c r="I43" s="690">
        <f t="shared" si="3"/>
        <v>11152</v>
      </c>
    </row>
    <row r="44" spans="1:9" ht="18" thickBot="1" thickTop="1">
      <c r="A44" s="571" t="s">
        <v>433</v>
      </c>
      <c r="B44" s="580" t="s">
        <v>1003</v>
      </c>
      <c r="C44" s="686"/>
      <c r="D44" s="682"/>
      <c r="E44" s="682"/>
      <c r="F44" s="682"/>
      <c r="G44" s="682"/>
      <c r="H44" s="682"/>
      <c r="I44" s="683"/>
    </row>
    <row r="45" spans="1:9" ht="17.25" thickTop="1">
      <c r="A45" s="573">
        <v>1</v>
      </c>
      <c r="B45" s="574"/>
      <c r="C45" s="640">
        <v>6580</v>
      </c>
      <c r="D45" s="641">
        <v>2450</v>
      </c>
      <c r="E45" s="641">
        <v>1060</v>
      </c>
      <c r="F45" s="641"/>
      <c r="G45" s="691">
        <v>3070</v>
      </c>
      <c r="H45" s="691"/>
      <c r="I45" s="692"/>
    </row>
    <row r="46" spans="1:9" ht="16.5">
      <c r="A46" s="573">
        <v>2</v>
      </c>
      <c r="B46" s="574"/>
      <c r="C46" s="640">
        <v>1200</v>
      </c>
      <c r="D46" s="641"/>
      <c r="E46" s="641"/>
      <c r="F46" s="641"/>
      <c r="G46" s="641"/>
      <c r="H46" s="641">
        <v>1200</v>
      </c>
      <c r="I46" s="692"/>
    </row>
    <row r="47" spans="1:9" ht="16.5">
      <c r="A47" s="573">
        <v>3</v>
      </c>
      <c r="B47" s="574"/>
      <c r="C47" s="640">
        <v>3206</v>
      </c>
      <c r="D47" s="641">
        <v>3206</v>
      </c>
      <c r="E47" s="641"/>
      <c r="F47" s="641">
        <v>0</v>
      </c>
      <c r="G47" s="641"/>
      <c r="H47" s="691"/>
      <c r="I47" s="692"/>
    </row>
    <row r="48" spans="1:9" ht="17.25" thickBot="1">
      <c r="A48" s="598"/>
      <c r="B48" s="599" t="s">
        <v>1000</v>
      </c>
      <c r="C48" s="693">
        <f>SUM(C45:C47)</f>
        <v>10986</v>
      </c>
      <c r="D48" s="694">
        <f>SUM(D45:D47)</f>
        <v>5656</v>
      </c>
      <c r="E48" s="694">
        <f>SUM(E45:E46)+E47</f>
        <v>1060</v>
      </c>
      <c r="F48" s="694">
        <f>F47+F45</f>
        <v>0</v>
      </c>
      <c r="G48" s="694">
        <f>G46+G47+G45</f>
        <v>3070</v>
      </c>
      <c r="H48" s="694">
        <f>H46</f>
        <v>1200</v>
      </c>
      <c r="I48" s="695"/>
    </row>
    <row r="49" spans="1:9" ht="17.25" thickBot="1">
      <c r="A49" s="596" t="s">
        <v>516</v>
      </c>
      <c r="B49" s="600" t="s">
        <v>1004</v>
      </c>
      <c r="C49" s="696"/>
      <c r="D49" s="697"/>
      <c r="E49" s="697"/>
      <c r="F49" s="697"/>
      <c r="G49" s="697"/>
      <c r="H49" s="697"/>
      <c r="I49" s="698"/>
    </row>
    <row r="50" spans="1:9" ht="17.25" thickTop="1">
      <c r="A50" s="573">
        <v>1</v>
      </c>
      <c r="B50" s="574"/>
      <c r="C50" s="686">
        <v>41136</v>
      </c>
      <c r="D50" s="684"/>
      <c r="E50" s="684"/>
      <c r="F50" s="684"/>
      <c r="G50" s="684"/>
      <c r="H50" s="684"/>
      <c r="I50" s="685">
        <v>41136</v>
      </c>
    </row>
    <row r="51" spans="1:9" ht="16.5">
      <c r="A51" s="573">
        <v>2</v>
      </c>
      <c r="B51" s="574"/>
      <c r="C51" s="686">
        <v>93028</v>
      </c>
      <c r="D51" s="684"/>
      <c r="E51" s="684"/>
      <c r="F51" s="684"/>
      <c r="G51" s="684"/>
      <c r="H51" s="684"/>
      <c r="I51" s="685">
        <v>93028</v>
      </c>
    </row>
    <row r="52" spans="1:9" ht="16.5">
      <c r="A52" s="573">
        <v>3</v>
      </c>
      <c r="B52" s="574"/>
      <c r="C52" s="686">
        <v>667814</v>
      </c>
      <c r="D52" s="684">
        <v>533177</v>
      </c>
      <c r="E52" s="684">
        <v>107806</v>
      </c>
      <c r="F52" s="684"/>
      <c r="G52" s="684"/>
      <c r="H52" s="684"/>
      <c r="I52" s="638">
        <v>26831</v>
      </c>
    </row>
    <row r="53" spans="1:9" ht="16.5">
      <c r="A53" s="573">
        <f>1+A52</f>
        <v>4</v>
      </c>
      <c r="B53" s="574"/>
      <c r="C53" s="686">
        <v>2391567</v>
      </c>
      <c r="D53" s="684">
        <v>2004277</v>
      </c>
      <c r="E53" s="684">
        <v>341736</v>
      </c>
      <c r="F53" s="684">
        <v>7774</v>
      </c>
      <c r="G53" s="684"/>
      <c r="H53" s="684">
        <v>4912</v>
      </c>
      <c r="I53" s="638">
        <v>32868</v>
      </c>
    </row>
    <row r="54" spans="1:9" ht="16.5">
      <c r="A54" s="573">
        <v>5</v>
      </c>
      <c r="B54" s="574"/>
      <c r="C54" s="686">
        <v>48327</v>
      </c>
      <c r="D54" s="684"/>
      <c r="E54" s="684"/>
      <c r="F54" s="684"/>
      <c r="G54" s="684"/>
      <c r="H54" s="684">
        <v>48327</v>
      </c>
      <c r="I54" s="638"/>
    </row>
    <row r="55" spans="1:9" ht="16.5">
      <c r="A55" s="573">
        <v>6</v>
      </c>
      <c r="B55" s="574"/>
      <c r="C55" s="686">
        <v>8094.98</v>
      </c>
      <c r="D55" s="684">
        <v>8094.98</v>
      </c>
      <c r="E55" s="684"/>
      <c r="F55" s="684"/>
      <c r="G55" s="684"/>
      <c r="H55" s="684"/>
      <c r="I55" s="638"/>
    </row>
    <row r="56" spans="1:9" ht="16.5">
      <c r="A56" s="573">
        <v>7</v>
      </c>
      <c r="B56" s="574"/>
      <c r="C56" s="686">
        <v>5377</v>
      </c>
      <c r="D56" s="684"/>
      <c r="E56" s="684"/>
      <c r="F56" s="684"/>
      <c r="G56" s="684">
        <v>5377</v>
      </c>
      <c r="H56" s="684"/>
      <c r="I56" s="685"/>
    </row>
    <row r="57" spans="1:9" ht="17.25" thickBot="1">
      <c r="A57" s="581"/>
      <c r="B57" s="747" t="s">
        <v>1000</v>
      </c>
      <c r="C57" s="688">
        <f aca="true" t="shared" si="4" ref="C57:I57">SUM(C50:C56)</f>
        <v>3255343.98</v>
      </c>
      <c r="D57" s="689">
        <f t="shared" si="4"/>
        <v>2545548.98</v>
      </c>
      <c r="E57" s="689">
        <f t="shared" si="4"/>
        <v>449542</v>
      </c>
      <c r="F57" s="689">
        <f t="shared" si="4"/>
        <v>7774</v>
      </c>
      <c r="G57" s="689">
        <f t="shared" si="4"/>
        <v>5377</v>
      </c>
      <c r="H57" s="689">
        <f t="shared" si="4"/>
        <v>53239</v>
      </c>
      <c r="I57" s="690">
        <f t="shared" si="4"/>
        <v>193863</v>
      </c>
    </row>
    <row r="58" spans="1:9" ht="18" thickBot="1" thickTop="1">
      <c r="A58" s="582" t="s">
        <v>517</v>
      </c>
      <c r="B58" s="583" t="s">
        <v>1005</v>
      </c>
      <c r="C58" s="686"/>
      <c r="D58" s="682"/>
      <c r="E58" s="682"/>
      <c r="F58" s="682"/>
      <c r="G58" s="682"/>
      <c r="H58" s="682"/>
      <c r="I58" s="683"/>
    </row>
    <row r="59" spans="1:9" ht="17.25" thickTop="1">
      <c r="A59" s="578">
        <v>1</v>
      </c>
      <c r="B59" s="584"/>
      <c r="C59" s="640">
        <v>63368</v>
      </c>
      <c r="D59" s="636">
        <v>33985</v>
      </c>
      <c r="E59" s="682">
        <v>29383</v>
      </c>
      <c r="F59" s="682"/>
      <c r="G59" s="682"/>
      <c r="H59" s="682"/>
      <c r="I59" s="683"/>
    </row>
    <row r="60" spans="1:9" ht="16.5">
      <c r="A60" s="578">
        <v>2</v>
      </c>
      <c r="B60" s="584"/>
      <c r="C60" s="640">
        <v>69278</v>
      </c>
      <c r="D60" s="636">
        <v>60455</v>
      </c>
      <c r="E60" s="636">
        <v>8823</v>
      </c>
      <c r="F60" s="682"/>
      <c r="G60" s="682"/>
      <c r="H60" s="682"/>
      <c r="I60" s="683"/>
    </row>
    <row r="61" spans="1:9" ht="16.5">
      <c r="A61" s="578">
        <v>3</v>
      </c>
      <c r="B61" s="584"/>
      <c r="C61" s="687">
        <v>2399</v>
      </c>
      <c r="D61" s="637"/>
      <c r="E61" s="684"/>
      <c r="F61" s="684"/>
      <c r="G61" s="684"/>
      <c r="H61" s="684"/>
      <c r="I61" s="685">
        <v>2399</v>
      </c>
    </row>
    <row r="62" spans="1:9" ht="17.25" thickBot="1">
      <c r="A62" s="579"/>
      <c r="B62" s="585" t="s">
        <v>1000</v>
      </c>
      <c r="C62" s="688">
        <f>C61+C60+C59</f>
        <v>135045</v>
      </c>
      <c r="D62" s="642">
        <f>D60+D59</f>
        <v>94440</v>
      </c>
      <c r="E62" s="642">
        <f>E60+E59</f>
        <v>38206</v>
      </c>
      <c r="F62" s="702"/>
      <c r="G62" s="702"/>
      <c r="H62" s="702">
        <f>SUM(H61:H61)</f>
        <v>0</v>
      </c>
      <c r="I62" s="703">
        <f>I61</f>
        <v>2399</v>
      </c>
    </row>
    <row r="63" spans="1:9" ht="18" thickBot="1" thickTop="1">
      <c r="A63" s="586"/>
      <c r="B63" s="587" t="s">
        <v>1006</v>
      </c>
      <c r="C63" s="693">
        <f>C62+C57+C48+C43+C32+C29+C18+C10</f>
        <v>4997921.99</v>
      </c>
      <c r="D63" s="704">
        <f>D62+D57+D48+D43+D32+D29+D18+D10</f>
        <v>3770621.9899999998</v>
      </c>
      <c r="E63" s="704">
        <f>E62+E57+E48+E43+E32+E29+E18</f>
        <v>590482</v>
      </c>
      <c r="F63" s="704">
        <f>F62+F57+F48+F43+F32+F29+F18</f>
        <v>117064</v>
      </c>
      <c r="G63" s="704">
        <f>G62+G57+G48+G43+G32+G29+G18</f>
        <v>253429</v>
      </c>
      <c r="H63" s="704">
        <f>H62+H57+H48+H43+H32+H29+H18</f>
        <v>55184</v>
      </c>
      <c r="I63" s="705">
        <f>I62+I57+I48+I43+I32+I29+I18</f>
        <v>211141</v>
      </c>
    </row>
  </sheetData>
  <mergeCells count="2">
    <mergeCell ref="A3:I3"/>
    <mergeCell ref="A4:I4"/>
  </mergeCells>
  <printOptions/>
  <pageMargins left="0.75" right="0.75" top="1" bottom="1" header="0.5" footer="0.5"/>
  <pageSetup horizontalDpi="300" verticalDpi="300" orientation="landscape" scale="75" r:id="rId1"/>
  <headerFooter alignWithMargins="0">
    <oddHeader>&amp;LMIS-10&amp;CPage &amp;P of &amp;N&amp;RMay 2008</oddHeader>
    <oddFooter>&amp;CCompany Name Here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F39"/>
  <sheetViews>
    <sheetView workbookViewId="0" topLeftCell="A1">
      <selection activeCell="E23" sqref="E23"/>
    </sheetView>
  </sheetViews>
  <sheetFormatPr defaultColWidth="9.140625" defaultRowHeight="12.75"/>
  <cols>
    <col min="1" max="1" width="10.140625" style="9" customWidth="1"/>
    <col min="2" max="2" width="29.7109375" style="9" bestFit="1" customWidth="1"/>
    <col min="3" max="3" width="16.8515625" style="9" bestFit="1" customWidth="1"/>
    <col min="4" max="4" width="10.7109375" style="9" bestFit="1" customWidth="1"/>
    <col min="5" max="5" width="10.28125" style="9" bestFit="1" customWidth="1"/>
    <col min="6" max="6" width="10.57421875" style="9" bestFit="1" customWidth="1"/>
    <col min="7" max="16384" width="9.140625" style="9" customWidth="1"/>
  </cols>
  <sheetData>
    <row r="1" ht="13.5" thickBot="1"/>
    <row r="2" spans="1:6" ht="15.75">
      <c r="A2" s="875" t="s">
        <v>1044</v>
      </c>
      <c r="B2" s="876"/>
      <c r="C2" s="876"/>
      <c r="D2" s="876"/>
      <c r="E2" s="876"/>
      <c r="F2" s="877"/>
    </row>
    <row r="3" spans="1:6" ht="22.5" customHeight="1">
      <c r="A3" s="878" t="s">
        <v>870</v>
      </c>
      <c r="B3" s="879"/>
      <c r="C3" s="879"/>
      <c r="D3" s="879"/>
      <c r="E3" s="879"/>
      <c r="F3" s="880"/>
    </row>
    <row r="4" spans="1:6" ht="33" customHeight="1" thickBot="1">
      <c r="A4" s="881" t="s">
        <v>1045</v>
      </c>
      <c r="B4" s="882"/>
      <c r="C4" s="882"/>
      <c r="D4" s="882"/>
      <c r="E4" s="882"/>
      <c r="F4" s="883"/>
    </row>
    <row r="5" spans="1:6" ht="13.5" thickBot="1">
      <c r="A5" s="884" t="s">
        <v>882</v>
      </c>
      <c r="B5" s="885"/>
      <c r="C5" s="885"/>
      <c r="D5" s="885"/>
      <c r="E5" s="885"/>
      <c r="F5" s="886"/>
    </row>
    <row r="6" spans="1:6" ht="12.75">
      <c r="A6" s="654" t="s">
        <v>881</v>
      </c>
      <c r="B6" s="654" t="s">
        <v>178</v>
      </c>
      <c r="C6" s="654" t="s">
        <v>880</v>
      </c>
      <c r="D6" s="654" t="s">
        <v>1025</v>
      </c>
      <c r="E6" s="654" t="s">
        <v>179</v>
      </c>
      <c r="F6" s="654" t="s">
        <v>180</v>
      </c>
    </row>
    <row r="7" spans="1:6" ht="12.75">
      <c r="A7" s="655">
        <v>39547</v>
      </c>
      <c r="B7" s="656"/>
      <c r="C7" s="656" t="s">
        <v>878</v>
      </c>
      <c r="D7" s="657"/>
      <c r="E7" s="658"/>
      <c r="F7" s="659">
        <v>5760</v>
      </c>
    </row>
    <row r="8" spans="1:6" ht="12.75">
      <c r="A8" s="655">
        <v>39620</v>
      </c>
      <c r="B8" s="656"/>
      <c r="C8" s="656" t="s">
        <v>879</v>
      </c>
      <c r="D8" s="657"/>
      <c r="E8" s="659">
        <v>31152</v>
      </c>
      <c r="F8" s="658"/>
    </row>
    <row r="9" spans="1:6" ht="12.75">
      <c r="A9" s="655">
        <v>39624</v>
      </c>
      <c r="B9" s="656"/>
      <c r="C9" s="656" t="s">
        <v>878</v>
      </c>
      <c r="D9" s="657"/>
      <c r="E9" s="658"/>
      <c r="F9" s="659">
        <v>104708</v>
      </c>
    </row>
    <row r="10" spans="1:6" ht="12.75">
      <c r="A10" s="655">
        <v>39627</v>
      </c>
      <c r="B10" s="656"/>
      <c r="C10" s="656" t="s">
        <v>878</v>
      </c>
      <c r="D10" s="657"/>
      <c r="E10" s="658"/>
      <c r="F10" s="659">
        <v>6500</v>
      </c>
    </row>
    <row r="11" spans="1:6" ht="12.75">
      <c r="A11" s="655">
        <v>39629</v>
      </c>
      <c r="B11" s="656"/>
      <c r="C11" s="656" t="s">
        <v>878</v>
      </c>
      <c r="D11" s="657"/>
      <c r="E11" s="658"/>
      <c r="F11" s="659">
        <v>224111</v>
      </c>
    </row>
    <row r="12" spans="1:6" ht="12.75">
      <c r="A12" s="655">
        <v>39629</v>
      </c>
      <c r="B12" s="656"/>
      <c r="C12" s="656" t="s">
        <v>878</v>
      </c>
      <c r="D12" s="657"/>
      <c r="E12" s="658"/>
      <c r="F12" s="659">
        <v>62500</v>
      </c>
    </row>
    <row r="13" spans="1:6" ht="12.75">
      <c r="A13" s="655">
        <v>39629</v>
      </c>
      <c r="B13" s="656"/>
      <c r="C13" s="656" t="s">
        <v>878</v>
      </c>
      <c r="D13" s="657"/>
      <c r="E13" s="658"/>
      <c r="F13" s="659">
        <v>111002</v>
      </c>
    </row>
    <row r="14" spans="1:6" ht="12.75">
      <c r="A14" s="655">
        <v>39629</v>
      </c>
      <c r="B14" s="656"/>
      <c r="C14" s="656" t="s">
        <v>878</v>
      </c>
      <c r="D14" s="657"/>
      <c r="E14" s="658"/>
      <c r="F14" s="659">
        <v>62917</v>
      </c>
    </row>
    <row r="15" spans="1:6" ht="12.75">
      <c r="A15" s="655">
        <v>39629</v>
      </c>
      <c r="B15" s="656"/>
      <c r="C15" s="656" t="s">
        <v>878</v>
      </c>
      <c r="D15" s="657"/>
      <c r="E15" s="658"/>
      <c r="F15" s="659">
        <v>43716</v>
      </c>
    </row>
    <row r="16" spans="1:6" ht="12.75">
      <c r="A16" s="655">
        <v>39629</v>
      </c>
      <c r="B16" s="656"/>
      <c r="C16" s="656" t="s">
        <v>878</v>
      </c>
      <c r="D16" s="657"/>
      <c r="E16" s="658"/>
      <c r="F16" s="659">
        <v>63577</v>
      </c>
    </row>
    <row r="17" spans="1:6" ht="12.75">
      <c r="A17" s="655">
        <v>39629</v>
      </c>
      <c r="B17" s="656"/>
      <c r="C17" s="656" t="s">
        <v>878</v>
      </c>
      <c r="D17" s="657"/>
      <c r="E17" s="658"/>
      <c r="F17" s="659">
        <v>106219</v>
      </c>
    </row>
    <row r="18" spans="1:6" ht="12.75">
      <c r="A18" s="655">
        <v>39629</v>
      </c>
      <c r="B18" s="656"/>
      <c r="C18" s="656" t="s">
        <v>878</v>
      </c>
      <c r="D18" s="657"/>
      <c r="E18" s="658"/>
      <c r="F18" s="659">
        <v>95057</v>
      </c>
    </row>
    <row r="19" spans="1:6" ht="12.75">
      <c r="A19" s="655">
        <v>39629</v>
      </c>
      <c r="B19" s="656"/>
      <c r="C19" s="656" t="s">
        <v>878</v>
      </c>
      <c r="D19" s="657"/>
      <c r="E19" s="658"/>
      <c r="F19" s="659">
        <v>215988</v>
      </c>
    </row>
    <row r="20" spans="1:6" ht="12.75">
      <c r="A20" s="655">
        <v>39629</v>
      </c>
      <c r="B20" s="656"/>
      <c r="C20" s="656" t="s">
        <v>878</v>
      </c>
      <c r="D20" s="657"/>
      <c r="E20" s="658"/>
      <c r="F20" s="659">
        <v>63618</v>
      </c>
    </row>
    <row r="21" spans="1:6" ht="12.75">
      <c r="A21" s="655">
        <v>39629</v>
      </c>
      <c r="B21" s="656"/>
      <c r="C21" s="656" t="s">
        <v>878</v>
      </c>
      <c r="D21" s="657"/>
      <c r="E21" s="658"/>
      <c r="F21" s="659">
        <v>108060</v>
      </c>
    </row>
    <row r="22" spans="1:6" s="127" customFormat="1" ht="12.75">
      <c r="A22" s="655">
        <v>39629</v>
      </c>
      <c r="B22" s="656"/>
      <c r="C22" s="656" t="s">
        <v>878</v>
      </c>
      <c r="D22" s="657"/>
      <c r="E22" s="658"/>
      <c r="F22" s="659">
        <v>152951</v>
      </c>
    </row>
    <row r="23" spans="1:6" ht="12.75">
      <c r="A23" s="655">
        <v>39629</v>
      </c>
      <c r="B23" s="656"/>
      <c r="C23" s="656" t="s">
        <v>878</v>
      </c>
      <c r="D23" s="657"/>
      <c r="E23" s="658"/>
      <c r="F23" s="659">
        <v>63963</v>
      </c>
    </row>
    <row r="24" spans="1:6" ht="12.75">
      <c r="A24" s="655">
        <v>39629</v>
      </c>
      <c r="B24" s="656"/>
      <c r="C24" s="656" t="s">
        <v>878</v>
      </c>
      <c r="D24" s="657"/>
      <c r="E24" s="658"/>
      <c r="F24" s="659">
        <v>106436</v>
      </c>
    </row>
    <row r="25" spans="1:6" ht="12.75">
      <c r="A25" s="655">
        <v>39629</v>
      </c>
      <c r="B25" s="656"/>
      <c r="C25" s="656" t="s">
        <v>878</v>
      </c>
      <c r="D25" s="657"/>
      <c r="E25" s="658"/>
      <c r="F25" s="659">
        <v>106518</v>
      </c>
    </row>
    <row r="26" spans="1:6" ht="12.75">
      <c r="A26" s="655">
        <v>39625</v>
      </c>
      <c r="B26" s="656"/>
      <c r="C26" s="656" t="s">
        <v>879</v>
      </c>
      <c r="D26" s="660">
        <v>39630</v>
      </c>
      <c r="E26" s="659">
        <v>44600</v>
      </c>
      <c r="F26" s="658"/>
    </row>
    <row r="27" spans="1:6" ht="12.75">
      <c r="A27" s="655">
        <v>39625</v>
      </c>
      <c r="B27" s="656"/>
      <c r="C27" s="656" t="s">
        <v>878</v>
      </c>
      <c r="D27" s="660">
        <v>39630</v>
      </c>
      <c r="E27" s="658"/>
      <c r="F27" s="659">
        <v>529</v>
      </c>
    </row>
    <row r="28" spans="1:6" ht="12.75">
      <c r="A28" s="655">
        <v>39625</v>
      </c>
      <c r="B28" s="656"/>
      <c r="C28" s="656" t="s">
        <v>878</v>
      </c>
      <c r="D28" s="660">
        <v>39630</v>
      </c>
      <c r="E28" s="658"/>
      <c r="F28" s="659">
        <v>1140</v>
      </c>
    </row>
    <row r="29" spans="1:6" ht="12.75">
      <c r="A29" s="655">
        <v>39627</v>
      </c>
      <c r="B29" s="656"/>
      <c r="C29" s="656" t="s">
        <v>879</v>
      </c>
      <c r="D29" s="660">
        <v>39630</v>
      </c>
      <c r="E29" s="659">
        <v>5832</v>
      </c>
      <c r="F29" s="658"/>
    </row>
    <row r="30" spans="1:6" ht="12.75">
      <c r="A30" s="655">
        <v>39627</v>
      </c>
      <c r="B30" s="656"/>
      <c r="C30" s="656" t="s">
        <v>879</v>
      </c>
      <c r="D30" s="660">
        <v>39630</v>
      </c>
      <c r="E30" s="659">
        <v>9547</v>
      </c>
      <c r="F30" s="658"/>
    </row>
    <row r="31" spans="1:6" ht="12.75">
      <c r="A31" s="655">
        <v>39629</v>
      </c>
      <c r="B31" s="656"/>
      <c r="C31" s="656" t="s">
        <v>879</v>
      </c>
      <c r="D31" s="660">
        <v>39630</v>
      </c>
      <c r="E31" s="659">
        <v>3220</v>
      </c>
      <c r="F31" s="658"/>
    </row>
    <row r="32" spans="1:6" ht="12.75">
      <c r="A32" s="655">
        <v>39625</v>
      </c>
      <c r="B32" s="656"/>
      <c r="C32" s="656" t="s">
        <v>878</v>
      </c>
      <c r="D32" s="660">
        <v>39631</v>
      </c>
      <c r="E32" s="658"/>
      <c r="F32" s="659">
        <v>2716</v>
      </c>
    </row>
    <row r="33" spans="1:6" ht="12.75">
      <c r="A33" s="655">
        <v>39629</v>
      </c>
      <c r="B33" s="656"/>
      <c r="C33" s="656" t="s">
        <v>879</v>
      </c>
      <c r="D33" s="660">
        <v>39631</v>
      </c>
      <c r="E33" s="659">
        <v>21210</v>
      </c>
      <c r="F33" s="658"/>
    </row>
    <row r="34" spans="1:6" ht="12.75">
      <c r="A34" s="655">
        <v>39629</v>
      </c>
      <c r="B34" s="656"/>
      <c r="C34" s="656" t="s">
        <v>878</v>
      </c>
      <c r="D34" s="660">
        <v>39631</v>
      </c>
      <c r="E34" s="658"/>
      <c r="F34" s="659">
        <v>2247</v>
      </c>
    </row>
    <row r="35" spans="1:6" ht="12.75">
      <c r="A35" s="655">
        <v>39629</v>
      </c>
      <c r="B35" s="656"/>
      <c r="C35" s="656" t="s">
        <v>879</v>
      </c>
      <c r="D35" s="660">
        <v>39631</v>
      </c>
      <c r="E35" s="659">
        <v>16013</v>
      </c>
      <c r="F35" s="658"/>
    </row>
    <row r="36" spans="1:6" ht="13.5" thickBot="1">
      <c r="A36" s="655">
        <v>39629</v>
      </c>
      <c r="B36" s="656"/>
      <c r="C36" s="656" t="s">
        <v>879</v>
      </c>
      <c r="D36" s="660">
        <v>39631</v>
      </c>
      <c r="E36" s="659">
        <v>1644</v>
      </c>
      <c r="F36" s="658"/>
    </row>
    <row r="37" spans="1:6" ht="13.5" thickBot="1">
      <c r="A37" s="872" t="s">
        <v>877</v>
      </c>
      <c r="B37" s="873"/>
      <c r="C37" s="873"/>
      <c r="D37" s="874"/>
      <c r="E37" s="661">
        <v>310512.57</v>
      </c>
      <c r="F37" s="662"/>
    </row>
    <row r="38" spans="1:6" ht="13.5" thickBot="1">
      <c r="A38" s="872" t="s">
        <v>876</v>
      </c>
      <c r="B38" s="873"/>
      <c r="C38" s="873"/>
      <c r="D38" s="874"/>
      <c r="E38" s="663">
        <v>133218</v>
      </c>
      <c r="F38" s="663">
        <v>1710233</v>
      </c>
    </row>
    <row r="39" spans="1:6" ht="13.5" thickBot="1">
      <c r="A39" s="872" t="s">
        <v>875</v>
      </c>
      <c r="B39" s="873"/>
      <c r="C39" s="873"/>
      <c r="D39" s="874"/>
      <c r="E39" s="664">
        <v>1887527.57</v>
      </c>
      <c r="F39" s="662"/>
    </row>
  </sheetData>
  <mergeCells count="7">
    <mergeCell ref="A37:D37"/>
    <mergeCell ref="A38:D38"/>
    <mergeCell ref="A39:D39"/>
    <mergeCell ref="A2:F2"/>
    <mergeCell ref="A3:F3"/>
    <mergeCell ref="A4:F4"/>
    <mergeCell ref="A5:F5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&amp;L&amp;16MIS-11&amp;R&amp;16May 2008</oddHeader>
    <oddFooter>&amp;C&amp;16Company Name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4"/>
  <sheetViews>
    <sheetView zoomScale="75" zoomScaleNormal="75" zoomScaleSheetLayoutView="75" workbookViewId="0" topLeftCell="A60">
      <selection activeCell="D77" sqref="D77"/>
    </sheetView>
  </sheetViews>
  <sheetFormatPr defaultColWidth="9.140625" defaultRowHeight="12.75"/>
  <cols>
    <col min="1" max="1" width="7.00390625" style="40" customWidth="1"/>
    <col min="2" max="2" width="35.421875" style="40" customWidth="1"/>
    <col min="3" max="3" width="3.28125" style="40" customWidth="1"/>
    <col min="4" max="4" width="16.140625" style="40" customWidth="1"/>
    <col min="5" max="5" width="7.57421875" style="40" customWidth="1"/>
    <col min="6" max="6" width="15.00390625" style="40" customWidth="1"/>
    <col min="7" max="7" width="7.57421875" style="40" customWidth="1"/>
    <col min="8" max="8" width="16.00390625" style="40" customWidth="1"/>
    <col min="9" max="9" width="10.421875" style="40" customWidth="1"/>
    <col min="10" max="10" width="16.421875" style="40" customWidth="1"/>
    <col min="11" max="11" width="7.140625" style="40" bestFit="1" customWidth="1"/>
    <col min="12" max="12" width="9.140625" style="40" customWidth="1"/>
    <col min="13" max="13" width="12.421875" style="40" bestFit="1" customWidth="1"/>
    <col min="14" max="14" width="13.140625" style="40" bestFit="1" customWidth="1"/>
    <col min="15" max="15" width="13.140625" style="40" customWidth="1"/>
    <col min="16" max="16" width="18.28125" style="80" bestFit="1" customWidth="1"/>
    <col min="17" max="17" width="9.140625" style="40" customWidth="1"/>
    <col min="18" max="18" width="11.28125" style="40" bestFit="1" customWidth="1"/>
    <col min="19" max="16384" width="9.140625" style="40" customWidth="1"/>
  </cols>
  <sheetData>
    <row r="1" spans="1:11" ht="12.75">
      <c r="A1" s="887" t="s">
        <v>24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</row>
    <row r="2" spans="1:2" ht="12.75">
      <c r="A2" s="41" t="s">
        <v>463</v>
      </c>
      <c r="B2" s="41"/>
    </row>
    <row r="3" spans="1:2" ht="12.75">
      <c r="A3" s="41" t="s">
        <v>554</v>
      </c>
      <c r="B3" s="41"/>
    </row>
    <row r="4" ht="12.75"/>
    <row r="5" spans="1:11" ht="12.75">
      <c r="A5" s="887" t="s">
        <v>465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</row>
    <row r="6" ht="12.75"/>
    <row r="7" spans="1:16" ht="12.75">
      <c r="A7" s="888"/>
      <c r="B7" s="889" t="s">
        <v>16</v>
      </c>
      <c r="C7" s="891"/>
      <c r="D7" s="893" t="s">
        <v>527</v>
      </c>
      <c r="E7" s="893"/>
      <c r="F7" s="893" t="s">
        <v>528</v>
      </c>
      <c r="G7" s="893"/>
      <c r="H7" s="893" t="s">
        <v>539</v>
      </c>
      <c r="I7" s="893"/>
      <c r="J7" s="893" t="s">
        <v>540</v>
      </c>
      <c r="K7" s="893"/>
      <c r="P7" s="27" t="s">
        <v>515</v>
      </c>
    </row>
    <row r="8" spans="1:16" ht="12.75">
      <c r="A8" s="888"/>
      <c r="B8" s="890"/>
      <c r="C8" s="892"/>
      <c r="D8" s="42" t="s">
        <v>3</v>
      </c>
      <c r="E8" s="42" t="s">
        <v>15</v>
      </c>
      <c r="F8" s="42" t="s">
        <v>3</v>
      </c>
      <c r="G8" s="42" t="s">
        <v>15</v>
      </c>
      <c r="H8" s="42" t="s">
        <v>3</v>
      </c>
      <c r="I8" s="42" t="s">
        <v>15</v>
      </c>
      <c r="J8" s="42" t="s">
        <v>3</v>
      </c>
      <c r="K8" s="42" t="s">
        <v>15</v>
      </c>
      <c r="P8" s="27"/>
    </row>
    <row r="9" spans="1:16" ht="12.75">
      <c r="A9" s="43"/>
      <c r="B9" s="44" t="s">
        <v>25</v>
      </c>
      <c r="C9" s="43"/>
      <c r="D9" s="43"/>
      <c r="E9" s="43"/>
      <c r="F9" s="43"/>
      <c r="G9" s="43"/>
      <c r="H9" s="43"/>
      <c r="I9" s="43"/>
      <c r="J9" s="43"/>
      <c r="K9" s="43"/>
      <c r="N9" s="45"/>
      <c r="O9" s="45"/>
      <c r="P9" s="27"/>
    </row>
    <row r="10" spans="1:16" ht="12.75">
      <c r="A10" s="43"/>
      <c r="B10" s="44"/>
      <c r="C10" s="43"/>
      <c r="D10" s="43"/>
      <c r="E10" s="43"/>
      <c r="F10" s="43"/>
      <c r="G10" s="43"/>
      <c r="H10" s="43"/>
      <c r="I10" s="43"/>
      <c r="J10" s="43"/>
      <c r="K10" s="43"/>
      <c r="N10" s="45"/>
      <c r="O10" s="45"/>
      <c r="P10" s="27"/>
    </row>
    <row r="11" spans="1:16" ht="12.75">
      <c r="A11" s="43"/>
      <c r="B11" s="43" t="s">
        <v>26</v>
      </c>
      <c r="C11" s="43"/>
      <c r="D11" s="53">
        <f>+'[3]PL'!J11</f>
        <v>66495967.1</v>
      </c>
      <c r="E11" s="53">
        <f>+D11/$D$25*100</f>
        <v>60.04029095034119</v>
      </c>
      <c r="F11" s="53">
        <v>8333048.1000000015</v>
      </c>
      <c r="G11" s="53">
        <v>56.23793811002382</v>
      </c>
      <c r="H11" s="53" t="e">
        <f aca="true" t="shared" si="0" ref="H11:H16">+J11-D11</f>
        <v>#REF!</v>
      </c>
      <c r="I11" s="53" t="e">
        <f>+H11/$H$25*100</f>
        <v>#REF!</v>
      </c>
      <c r="J11" s="53" t="e">
        <f>+TB!D100+TB!D101+TB!D105+TB!D106+TB!D112</f>
        <v>#REF!</v>
      </c>
      <c r="K11" s="53" t="e">
        <f>+J11/$J$25*100</f>
        <v>#REF!</v>
      </c>
      <c r="N11" s="46">
        <v>99545423</v>
      </c>
      <c r="O11" s="46"/>
      <c r="P11" s="27" t="e">
        <f>+J11</f>
        <v>#REF!</v>
      </c>
    </row>
    <row r="12" spans="1:16" ht="12.75">
      <c r="A12" s="43"/>
      <c r="B12" s="43" t="s">
        <v>27</v>
      </c>
      <c r="C12" s="43"/>
      <c r="D12" s="53">
        <f>+'[3]PL'!J12</f>
        <v>6473872.03</v>
      </c>
      <c r="E12" s="53">
        <f aca="true" t="shared" si="1" ref="E12:E75">+D12/$D$25*100</f>
        <v>5.845364421453402</v>
      </c>
      <c r="F12" s="53">
        <v>1816856</v>
      </c>
      <c r="G12" s="53">
        <v>12.26156792288592</v>
      </c>
      <c r="H12" s="53" t="e">
        <f t="shared" si="0"/>
        <v>#REF!</v>
      </c>
      <c r="I12" s="53" t="e">
        <f aca="true" t="shared" si="2" ref="I12:I75">+H12/$H$25*100</f>
        <v>#REF!</v>
      </c>
      <c r="J12" s="53" t="e">
        <f>+TB!D107+TB!D108</f>
        <v>#REF!</v>
      </c>
      <c r="K12" s="53" t="e">
        <f aca="true" t="shared" si="3" ref="K12:K75">+J12/$J$25*100</f>
        <v>#REF!</v>
      </c>
      <c r="N12" s="45">
        <v>5203414</v>
      </c>
      <c r="O12" s="45"/>
      <c r="P12" s="27" t="e">
        <f aca="true" t="shared" si="4" ref="P12:P75">+J12</f>
        <v>#REF!</v>
      </c>
    </row>
    <row r="13" spans="1:16" ht="12.75">
      <c r="A13" s="43"/>
      <c r="B13" s="43" t="s">
        <v>28</v>
      </c>
      <c r="C13" s="43"/>
      <c r="D13" s="53">
        <f>+'[3]PL'!J13</f>
        <v>38247347</v>
      </c>
      <c r="E13" s="53">
        <f t="shared" si="1"/>
        <v>34.53415210136344</v>
      </c>
      <c r="F13" s="53">
        <v>4842996</v>
      </c>
      <c r="G13" s="53">
        <v>32.68433183712126</v>
      </c>
      <c r="H13" s="53" t="e">
        <f t="shared" si="0"/>
        <v>#REF!</v>
      </c>
      <c r="I13" s="53" t="e">
        <f t="shared" si="2"/>
        <v>#REF!</v>
      </c>
      <c r="J13" s="53" t="e">
        <f>+TB!D245-TB!C255</f>
        <v>#REF!</v>
      </c>
      <c r="K13" s="53" t="e">
        <f t="shared" si="3"/>
        <v>#REF!</v>
      </c>
      <c r="N13" s="45">
        <f>+N11-N12</f>
        <v>94342009</v>
      </c>
      <c r="O13" s="45"/>
      <c r="P13" s="27" t="e">
        <f t="shared" si="4"/>
        <v>#REF!</v>
      </c>
    </row>
    <row r="14" spans="1:16" ht="12.75">
      <c r="A14" s="43"/>
      <c r="B14" s="43" t="s">
        <v>29</v>
      </c>
      <c r="C14" s="43"/>
      <c r="D14" s="53">
        <f>+'[3]PL'!J14</f>
        <v>0</v>
      </c>
      <c r="E14" s="53">
        <f t="shared" si="1"/>
        <v>0</v>
      </c>
      <c r="F14" s="53">
        <v>0</v>
      </c>
      <c r="G14" s="53">
        <v>0</v>
      </c>
      <c r="H14" s="53">
        <f t="shared" si="0"/>
        <v>0</v>
      </c>
      <c r="I14" s="53" t="e">
        <f t="shared" si="2"/>
        <v>#REF!</v>
      </c>
      <c r="J14" s="53"/>
      <c r="K14" s="53" t="e">
        <f t="shared" si="3"/>
        <v>#REF!</v>
      </c>
      <c r="N14" s="45" t="e">
        <f>+N13-J25</f>
        <v>#REF!</v>
      </c>
      <c r="O14" s="45"/>
      <c r="P14" s="27">
        <f t="shared" si="4"/>
        <v>0</v>
      </c>
    </row>
    <row r="15" spans="1:16" ht="12.75">
      <c r="A15" s="43"/>
      <c r="B15" s="43" t="s">
        <v>30</v>
      </c>
      <c r="C15" s="43"/>
      <c r="D15" s="53">
        <f>+'[3]PL'!J15</f>
        <v>310760</v>
      </c>
      <c r="E15" s="53">
        <f t="shared" si="1"/>
        <v>0.2805902617773646</v>
      </c>
      <c r="F15" s="53">
        <v>13042</v>
      </c>
      <c r="G15" s="53">
        <v>0.08801763532733364</v>
      </c>
      <c r="H15" s="53" t="e">
        <f t="shared" si="0"/>
        <v>#REF!</v>
      </c>
      <c r="I15" s="53" t="e">
        <f t="shared" si="2"/>
        <v>#REF!</v>
      </c>
      <c r="J15" s="53" t="e">
        <f>+TB!D109+TB!D110</f>
        <v>#REF!</v>
      </c>
      <c r="K15" s="53" t="e">
        <f t="shared" si="3"/>
        <v>#REF!</v>
      </c>
      <c r="N15" s="45"/>
      <c r="O15" s="45"/>
      <c r="P15" s="27" t="e">
        <f t="shared" si="4"/>
        <v>#REF!</v>
      </c>
    </row>
    <row r="16" spans="1:16" ht="12.75">
      <c r="A16" s="43"/>
      <c r="B16" s="43" t="s">
        <v>14</v>
      </c>
      <c r="C16" s="43"/>
      <c r="D16" s="53">
        <f>+'[3]PL'!J16</f>
        <v>148759.82</v>
      </c>
      <c r="E16" s="53">
        <f t="shared" si="1"/>
        <v>0.13431766261987915</v>
      </c>
      <c r="F16" s="53">
        <v>58685</v>
      </c>
      <c r="G16" s="53">
        <v>0.3960523638387191</v>
      </c>
      <c r="H16" s="53" t="e">
        <f t="shared" si="0"/>
        <v>#REF!</v>
      </c>
      <c r="I16" s="53" t="e">
        <f t="shared" si="2"/>
        <v>#REF!</v>
      </c>
      <c r="J16" s="53" t="e">
        <f>+TB!D103+TB!D104+TB!D158+(TB!D219-TB!C219)</f>
        <v>#REF!</v>
      </c>
      <c r="K16" s="53" t="e">
        <f t="shared" si="3"/>
        <v>#REF!</v>
      </c>
      <c r="N16" s="45"/>
      <c r="O16" s="45"/>
      <c r="P16" s="27" t="e">
        <f t="shared" si="4"/>
        <v>#REF!</v>
      </c>
    </row>
    <row r="17" spans="1:16" ht="12.75">
      <c r="A17" s="43"/>
      <c r="B17" s="43"/>
      <c r="C17" s="43"/>
      <c r="D17" s="53"/>
      <c r="E17" s="53"/>
      <c r="F17" s="53"/>
      <c r="G17" s="53"/>
      <c r="H17" s="53"/>
      <c r="I17" s="53"/>
      <c r="J17" s="53"/>
      <c r="K17" s="53"/>
      <c r="N17" s="45"/>
      <c r="O17" s="45"/>
      <c r="P17" s="27">
        <f t="shared" si="4"/>
        <v>0</v>
      </c>
    </row>
    <row r="18" spans="1:16" ht="12.75">
      <c r="A18" s="44" t="s">
        <v>41</v>
      </c>
      <c r="B18" s="44" t="s">
        <v>60</v>
      </c>
      <c r="C18" s="43"/>
      <c r="D18" s="53"/>
      <c r="E18" s="53"/>
      <c r="F18" s="53"/>
      <c r="G18" s="53"/>
      <c r="H18" s="53"/>
      <c r="I18" s="53"/>
      <c r="J18" s="53"/>
      <c r="K18" s="53"/>
      <c r="N18" s="45"/>
      <c r="O18" s="45"/>
      <c r="P18" s="27">
        <f t="shared" si="4"/>
        <v>0</v>
      </c>
    </row>
    <row r="19" spans="1:16" ht="12.75">
      <c r="A19" s="43"/>
      <c r="B19" s="44"/>
      <c r="C19" s="43"/>
      <c r="D19" s="53"/>
      <c r="E19" s="53"/>
      <c r="F19" s="53"/>
      <c r="G19" s="53"/>
      <c r="H19" s="53"/>
      <c r="I19" s="53"/>
      <c r="J19" s="53"/>
      <c r="K19" s="53"/>
      <c r="N19" s="45"/>
      <c r="O19" s="45"/>
      <c r="P19" s="27">
        <f t="shared" si="4"/>
        <v>0</v>
      </c>
    </row>
    <row r="20" spans="1:16" ht="12.75">
      <c r="A20" s="43"/>
      <c r="B20" s="43" t="s">
        <v>26</v>
      </c>
      <c r="C20" s="43"/>
      <c r="D20" s="53">
        <f>+'[3]PL'!J20</f>
        <v>924466</v>
      </c>
      <c r="E20" s="53">
        <f t="shared" si="1"/>
        <v>0.8347153975552619</v>
      </c>
      <c r="F20" s="53">
        <v>247142</v>
      </c>
      <c r="G20" s="53">
        <v>1.6679078691970475</v>
      </c>
      <c r="H20" s="53" t="e">
        <f>+J20-D20</f>
        <v>#REF!</v>
      </c>
      <c r="I20" s="53" t="e">
        <f t="shared" si="2"/>
        <v>#REF!</v>
      </c>
      <c r="J20" s="53" t="e">
        <f>+TB!C111</f>
        <v>#REF!</v>
      </c>
      <c r="K20" s="53" t="e">
        <f t="shared" si="3"/>
        <v>#REF!</v>
      </c>
      <c r="M20" s="28">
        <f>52689*0</f>
        <v>0</v>
      </c>
      <c r="N20" s="28" t="s">
        <v>522</v>
      </c>
      <c r="O20" s="28"/>
      <c r="P20" s="27" t="e">
        <f t="shared" si="4"/>
        <v>#REF!</v>
      </c>
    </row>
    <row r="21" spans="1:16" ht="12.75">
      <c r="A21" s="43"/>
      <c r="B21" s="43" t="s">
        <v>27</v>
      </c>
      <c r="C21" s="43"/>
      <c r="D21" s="53">
        <f>+'[3]PL'!J21</f>
        <v>0</v>
      </c>
      <c r="E21" s="53">
        <f t="shared" si="1"/>
        <v>0</v>
      </c>
      <c r="F21" s="53">
        <v>0</v>
      </c>
      <c r="G21" s="53">
        <v>0</v>
      </c>
      <c r="H21" s="53">
        <f>+J21-D21</f>
        <v>0</v>
      </c>
      <c r="I21" s="53" t="e">
        <f t="shared" si="2"/>
        <v>#REF!</v>
      </c>
      <c r="J21" s="53">
        <v>0</v>
      </c>
      <c r="K21" s="53" t="e">
        <f t="shared" si="3"/>
        <v>#REF!</v>
      </c>
      <c r="N21" s="45" t="s">
        <v>523</v>
      </c>
      <c r="O21" s="45"/>
      <c r="P21" s="27">
        <f t="shared" si="4"/>
        <v>0</v>
      </c>
    </row>
    <row r="22" spans="1:16" ht="12.75" hidden="1">
      <c r="A22" s="43"/>
      <c r="B22" s="43" t="s">
        <v>28</v>
      </c>
      <c r="C22" s="43"/>
      <c r="D22" s="53">
        <f>+'[1]PL'!H22</f>
        <v>0</v>
      </c>
      <c r="E22" s="53">
        <f t="shared" si="1"/>
        <v>0</v>
      </c>
      <c r="F22" s="53">
        <v>0</v>
      </c>
      <c r="G22" s="53">
        <v>0</v>
      </c>
      <c r="H22" s="53">
        <f>+J22-D22</f>
        <v>0</v>
      </c>
      <c r="I22" s="53" t="e">
        <f t="shared" si="2"/>
        <v>#REF!</v>
      </c>
      <c r="J22" s="53">
        <v>0</v>
      </c>
      <c r="K22" s="53" t="e">
        <f t="shared" si="3"/>
        <v>#REF!</v>
      </c>
      <c r="N22" s="45"/>
      <c r="O22" s="45"/>
      <c r="P22" s="27">
        <f t="shared" si="4"/>
        <v>0</v>
      </c>
    </row>
    <row r="23" spans="1:16" ht="12.75" hidden="1">
      <c r="A23" s="43"/>
      <c r="B23" s="43" t="s">
        <v>29</v>
      </c>
      <c r="C23" s="43"/>
      <c r="D23" s="53">
        <f>+'[1]PL'!H23</f>
        <v>0</v>
      </c>
      <c r="E23" s="53">
        <f t="shared" si="1"/>
        <v>0</v>
      </c>
      <c r="F23" s="53">
        <v>0</v>
      </c>
      <c r="G23" s="53">
        <v>0</v>
      </c>
      <c r="H23" s="53">
        <f>+J23-D23</f>
        <v>0</v>
      </c>
      <c r="I23" s="53" t="e">
        <f t="shared" si="2"/>
        <v>#REF!</v>
      </c>
      <c r="J23" s="53">
        <v>0</v>
      </c>
      <c r="K23" s="53" t="e">
        <f t="shared" si="3"/>
        <v>#REF!</v>
      </c>
      <c r="N23" s="45"/>
      <c r="O23" s="45"/>
      <c r="P23" s="27">
        <f t="shared" si="4"/>
        <v>0</v>
      </c>
    </row>
    <row r="24" spans="1:16" ht="12.75">
      <c r="A24" s="43"/>
      <c r="B24" s="43" t="s">
        <v>30</v>
      </c>
      <c r="C24" s="43"/>
      <c r="D24" s="53">
        <f>+'[3]PL'!J24</f>
        <v>0</v>
      </c>
      <c r="E24" s="53">
        <f t="shared" si="1"/>
        <v>0</v>
      </c>
      <c r="F24" s="53">
        <v>0</v>
      </c>
      <c r="G24" s="53">
        <v>0</v>
      </c>
      <c r="H24" s="53">
        <f>+J24-D24</f>
        <v>0</v>
      </c>
      <c r="I24" s="53" t="e">
        <f t="shared" si="2"/>
        <v>#REF!</v>
      </c>
      <c r="J24" s="53">
        <v>0</v>
      </c>
      <c r="K24" s="53" t="e">
        <f t="shared" si="3"/>
        <v>#REF!</v>
      </c>
      <c r="N24" s="45"/>
      <c r="O24" s="45"/>
      <c r="P24" s="27">
        <f t="shared" si="4"/>
        <v>0</v>
      </c>
    </row>
    <row r="25" spans="1:16" ht="12.75">
      <c r="A25" s="43"/>
      <c r="B25" s="44" t="s">
        <v>34</v>
      </c>
      <c r="C25" s="43"/>
      <c r="D25" s="54">
        <f>SUM(D11:D17)-SUM(D19:D24)</f>
        <v>110752239.94999999</v>
      </c>
      <c r="E25" s="54">
        <f t="shared" si="1"/>
        <v>100</v>
      </c>
      <c r="F25" s="54">
        <f>SUM(F11:F17)-SUM(F19:F24)</f>
        <v>14817485.100000001</v>
      </c>
      <c r="G25" s="54">
        <v>100</v>
      </c>
      <c r="H25" s="54" t="e">
        <f>SUM(H11:H17)-SUM(H19:H24)</f>
        <v>#REF!</v>
      </c>
      <c r="I25" s="54" t="e">
        <f t="shared" si="2"/>
        <v>#REF!</v>
      </c>
      <c r="J25" s="54" t="e">
        <f>SUM(J11:J17)-SUM(J19:J24)</f>
        <v>#REF!</v>
      </c>
      <c r="K25" s="54" t="e">
        <f t="shared" si="3"/>
        <v>#REF!</v>
      </c>
      <c r="N25" s="47"/>
      <c r="O25" s="47"/>
      <c r="P25" s="81" t="e">
        <f>SUM(P11:P17)-SUM(P19:P24)</f>
        <v>#REF!</v>
      </c>
    </row>
    <row r="26" spans="1:16" ht="12.75">
      <c r="A26" s="43"/>
      <c r="B26" s="43"/>
      <c r="C26" s="43"/>
      <c r="D26" s="53"/>
      <c r="E26" s="53"/>
      <c r="F26" s="53"/>
      <c r="G26" s="53"/>
      <c r="H26" s="53"/>
      <c r="I26" s="53"/>
      <c r="J26" s="53"/>
      <c r="K26" s="53"/>
      <c r="N26" s="45"/>
      <c r="O26" s="45"/>
      <c r="P26" s="27">
        <f t="shared" si="4"/>
        <v>0</v>
      </c>
    </row>
    <row r="27" spans="1:16" ht="12.75">
      <c r="A27" s="44"/>
      <c r="B27" s="44" t="s">
        <v>33</v>
      </c>
      <c r="C27" s="43"/>
      <c r="D27" s="54">
        <f>+D39</f>
        <v>-2105939.1999999993</v>
      </c>
      <c r="E27" s="54">
        <f t="shared" si="1"/>
        <v>-1.9014867789136751</v>
      </c>
      <c r="F27" s="54">
        <v>0</v>
      </c>
      <c r="G27" s="54">
        <v>0</v>
      </c>
      <c r="H27" s="54">
        <f>+H39</f>
        <v>2436254.6000000015</v>
      </c>
      <c r="I27" s="54" t="e">
        <f t="shared" si="2"/>
        <v>#REF!</v>
      </c>
      <c r="J27" s="54">
        <f>+J39</f>
        <v>330315.40000000224</v>
      </c>
      <c r="K27" s="54" t="e">
        <f t="shared" si="3"/>
        <v>#REF!</v>
      </c>
      <c r="N27" s="45"/>
      <c r="O27" s="45"/>
      <c r="P27" s="54">
        <f>+P39</f>
        <v>0</v>
      </c>
    </row>
    <row r="28" spans="1:16" ht="12.75">
      <c r="A28" s="44"/>
      <c r="B28" s="44"/>
      <c r="C28" s="43"/>
      <c r="D28" s="53"/>
      <c r="E28" s="53">
        <f t="shared" si="1"/>
        <v>0</v>
      </c>
      <c r="F28" s="53"/>
      <c r="G28" s="53">
        <v>0</v>
      </c>
      <c r="H28" s="53"/>
      <c r="I28" s="53" t="e">
        <f t="shared" si="2"/>
        <v>#REF!</v>
      </c>
      <c r="J28" s="53"/>
      <c r="K28" s="53" t="e">
        <f t="shared" si="3"/>
        <v>#REF!</v>
      </c>
      <c r="N28" s="45"/>
      <c r="O28" s="45"/>
      <c r="P28" s="27"/>
    </row>
    <row r="29" spans="1:16" ht="12.75">
      <c r="A29" s="44"/>
      <c r="B29" s="44" t="s">
        <v>2</v>
      </c>
      <c r="C29" s="43"/>
      <c r="D29" s="54">
        <f>SUM(D30:D32)</f>
        <v>20933616.4</v>
      </c>
      <c r="E29" s="54"/>
      <c r="F29" s="54">
        <v>0</v>
      </c>
      <c r="G29" s="54"/>
      <c r="H29" s="54">
        <f>SUM(H30:H32)</f>
        <v>18827677.2</v>
      </c>
      <c r="I29" s="54"/>
      <c r="J29" s="54">
        <f>SUM(J30:J32)</f>
        <v>20933616.4</v>
      </c>
      <c r="K29" s="54"/>
      <c r="P29" s="54">
        <f>SUM(P30:P32)</f>
        <v>0</v>
      </c>
    </row>
    <row r="30" spans="1:16" ht="12.75">
      <c r="A30" s="44"/>
      <c r="B30" s="43" t="s">
        <v>26</v>
      </c>
      <c r="C30" s="43"/>
      <c r="D30" s="53">
        <f>+'[3]PL'!J30</f>
        <v>19500662</v>
      </c>
      <c r="E30" s="53"/>
      <c r="F30" s="53">
        <v>17767983.2</v>
      </c>
      <c r="G30" s="53"/>
      <c r="H30" s="53">
        <f>+D35</f>
        <v>17767983.2</v>
      </c>
      <c r="I30" s="53"/>
      <c r="J30" s="86">
        <f>(+TB!C267+TB!C268)</f>
        <v>19500662</v>
      </c>
      <c r="K30" s="53"/>
      <c r="P30" s="27">
        <f>+J30*0</f>
        <v>0</v>
      </c>
    </row>
    <row r="31" spans="1:16" ht="12.75">
      <c r="A31" s="44"/>
      <c r="B31" s="43" t="s">
        <v>27</v>
      </c>
      <c r="C31" s="43"/>
      <c r="D31" s="53">
        <f>+'[3]PL'!J31</f>
        <v>0</v>
      </c>
      <c r="E31" s="53"/>
      <c r="F31" s="53">
        <v>0</v>
      </c>
      <c r="G31" s="53"/>
      <c r="H31" s="53">
        <f>+D36</f>
        <v>0</v>
      </c>
      <c r="I31" s="53"/>
      <c r="J31" s="53">
        <f>+D31</f>
        <v>0</v>
      </c>
      <c r="K31" s="53"/>
      <c r="P31" s="27">
        <f t="shared" si="4"/>
        <v>0</v>
      </c>
    </row>
    <row r="32" spans="1:16" ht="12.75">
      <c r="A32" s="44"/>
      <c r="B32" s="43" t="s">
        <v>71</v>
      </c>
      <c r="C32" s="43"/>
      <c r="D32" s="53">
        <f>+'[3]PL'!J32</f>
        <v>1432954.4000000001</v>
      </c>
      <c r="E32" s="53"/>
      <c r="F32" s="53">
        <v>1059694</v>
      </c>
      <c r="G32" s="53"/>
      <c r="H32" s="53">
        <f>+D37</f>
        <v>1059694</v>
      </c>
      <c r="I32" s="53"/>
      <c r="J32" s="53">
        <f>+TB!C266</f>
        <v>1432954.4000000001</v>
      </c>
      <c r="K32" s="53"/>
      <c r="P32" s="27">
        <f>+J32*0</f>
        <v>0</v>
      </c>
    </row>
    <row r="33" spans="1:16" ht="12.75">
      <c r="A33" s="44"/>
      <c r="B33" s="43"/>
      <c r="C33" s="43"/>
      <c r="D33" s="53"/>
      <c r="E33" s="53"/>
      <c r="F33" s="53"/>
      <c r="G33" s="53"/>
      <c r="H33" s="53"/>
      <c r="I33" s="53"/>
      <c r="J33" s="53"/>
      <c r="K33" s="53"/>
      <c r="P33" s="27">
        <f t="shared" si="4"/>
        <v>0</v>
      </c>
    </row>
    <row r="34" spans="1:16" ht="12.75">
      <c r="A34" s="44"/>
      <c r="B34" s="44" t="s">
        <v>0</v>
      </c>
      <c r="C34" s="43"/>
      <c r="D34" s="54">
        <f>SUM(D35:D37)</f>
        <v>18827677.2</v>
      </c>
      <c r="E34" s="53"/>
      <c r="F34" s="54">
        <v>0</v>
      </c>
      <c r="G34" s="53"/>
      <c r="H34" s="54">
        <f>SUM(H35:H37)</f>
        <v>21263931.8</v>
      </c>
      <c r="I34" s="53"/>
      <c r="J34" s="54">
        <f>SUM(J35:J37)</f>
        <v>21263931.8</v>
      </c>
      <c r="K34" s="53"/>
      <c r="P34" s="54">
        <f>SUM(P35:P37)</f>
        <v>0</v>
      </c>
    </row>
    <row r="35" spans="1:16" ht="12.75">
      <c r="A35" s="44"/>
      <c r="B35" s="43" t="s">
        <v>26</v>
      </c>
      <c r="C35" s="43"/>
      <c r="D35" s="53">
        <f>+'[3]PL'!J35</f>
        <v>17767983.2</v>
      </c>
      <c r="E35" s="53"/>
      <c r="F35" s="53">
        <v>17767983.2</v>
      </c>
      <c r="G35" s="53"/>
      <c r="H35" s="53">
        <f>+J35</f>
        <v>19945244.8</v>
      </c>
      <c r="I35" s="53"/>
      <c r="J35" s="53">
        <f>(+TB!C307+TB!C308)</f>
        <v>19945244.8</v>
      </c>
      <c r="K35" s="53"/>
      <c r="P35" s="27">
        <f>+J35*0</f>
        <v>0</v>
      </c>
    </row>
    <row r="36" spans="1:16" ht="12.75">
      <c r="A36" s="44"/>
      <c r="B36" s="43" t="s">
        <v>27</v>
      </c>
      <c r="C36" s="43"/>
      <c r="D36" s="53">
        <f>+'[3]PL'!J36</f>
        <v>0</v>
      </c>
      <c r="E36" s="53"/>
      <c r="F36" s="53">
        <v>0</v>
      </c>
      <c r="G36" s="53"/>
      <c r="H36" s="53">
        <f>+J36</f>
        <v>0</v>
      </c>
      <c r="I36" s="53"/>
      <c r="J36" s="53">
        <v>0</v>
      </c>
      <c r="K36" s="53"/>
      <c r="P36" s="27">
        <f t="shared" si="4"/>
        <v>0</v>
      </c>
    </row>
    <row r="37" spans="1:16" ht="12.75">
      <c r="A37" s="44"/>
      <c r="B37" s="43" t="s">
        <v>31</v>
      </c>
      <c r="C37" s="43"/>
      <c r="D37" s="53">
        <f>+'[3]PL'!J37</f>
        <v>1059694</v>
      </c>
      <c r="E37" s="53"/>
      <c r="F37" s="53">
        <v>1059694</v>
      </c>
      <c r="G37" s="53"/>
      <c r="H37" s="53">
        <f>+J37</f>
        <v>1318687</v>
      </c>
      <c r="I37" s="53"/>
      <c r="J37" s="53">
        <f>+TB!C306</f>
        <v>1318687</v>
      </c>
      <c r="K37" s="53"/>
      <c r="P37" s="27">
        <f>+J37*0</f>
        <v>0</v>
      </c>
    </row>
    <row r="38" spans="1:16" ht="12.75">
      <c r="A38" s="44"/>
      <c r="B38" s="44"/>
      <c r="C38" s="43"/>
      <c r="D38" s="53"/>
      <c r="E38" s="53"/>
      <c r="F38" s="53"/>
      <c r="G38" s="53"/>
      <c r="H38" s="53"/>
      <c r="I38" s="53"/>
      <c r="J38" s="53"/>
      <c r="K38" s="53"/>
      <c r="P38" s="27">
        <f t="shared" si="4"/>
        <v>0</v>
      </c>
    </row>
    <row r="39" spans="1:16" ht="12.75">
      <c r="A39" s="44"/>
      <c r="B39" s="44" t="s">
        <v>33</v>
      </c>
      <c r="C39" s="43"/>
      <c r="D39" s="54">
        <f>+D34-D29</f>
        <v>-2105939.1999999993</v>
      </c>
      <c r="E39" s="53">
        <f t="shared" si="1"/>
        <v>-1.9014867789136751</v>
      </c>
      <c r="F39" s="54">
        <v>0</v>
      </c>
      <c r="G39" s="53">
        <v>0</v>
      </c>
      <c r="H39" s="54">
        <f>+H34-H29</f>
        <v>2436254.6000000015</v>
      </c>
      <c r="I39" s="53" t="e">
        <f t="shared" si="2"/>
        <v>#REF!</v>
      </c>
      <c r="J39" s="54">
        <f>+J34-J29</f>
        <v>330315.40000000224</v>
      </c>
      <c r="K39" s="53" t="e">
        <f t="shared" si="3"/>
        <v>#REF!</v>
      </c>
      <c r="P39" s="27">
        <f>+J39*0</f>
        <v>0</v>
      </c>
    </row>
    <row r="40" spans="1:16" ht="12.75">
      <c r="A40" s="44"/>
      <c r="B40" s="43"/>
      <c r="C40" s="43"/>
      <c r="D40" s="53"/>
      <c r="E40" s="53">
        <f t="shared" si="1"/>
        <v>0</v>
      </c>
      <c r="F40" s="53"/>
      <c r="G40" s="53">
        <v>0</v>
      </c>
      <c r="H40" s="53"/>
      <c r="I40" s="53" t="e">
        <f t="shared" si="2"/>
        <v>#REF!</v>
      </c>
      <c r="J40" s="53"/>
      <c r="K40" s="53" t="e">
        <f t="shared" si="3"/>
        <v>#REF!</v>
      </c>
      <c r="P40" s="27">
        <f t="shared" si="4"/>
        <v>0</v>
      </c>
    </row>
    <row r="41" spans="1:16" ht="12.75">
      <c r="A41" s="48"/>
      <c r="B41" s="44" t="s">
        <v>35</v>
      </c>
      <c r="C41" s="43"/>
      <c r="D41" s="54">
        <f>+D43+D49-D55</f>
        <v>54056624.05</v>
      </c>
      <c r="E41" s="53">
        <f t="shared" si="1"/>
        <v>48.8086056538489</v>
      </c>
      <c r="F41" s="54">
        <f>+F43+F49-F55</f>
        <v>6564039</v>
      </c>
      <c r="G41" s="53">
        <v>44.29927855976045</v>
      </c>
      <c r="H41" s="54" t="e">
        <f>+H43+H49-H55</f>
        <v>#REF!</v>
      </c>
      <c r="I41" s="53" t="e">
        <f t="shared" si="2"/>
        <v>#REF!</v>
      </c>
      <c r="J41" s="54" t="e">
        <f>+J43+J49-J55</f>
        <v>#REF!</v>
      </c>
      <c r="K41" s="53" t="e">
        <f t="shared" si="3"/>
        <v>#REF!</v>
      </c>
      <c r="P41" s="54" t="e">
        <f>+P49</f>
        <v>#REF!</v>
      </c>
    </row>
    <row r="42" spans="1:16" ht="12.75">
      <c r="A42" s="48"/>
      <c r="B42" s="43"/>
      <c r="C42" s="43"/>
      <c r="D42" s="53"/>
      <c r="E42" s="53">
        <f t="shared" si="1"/>
        <v>0</v>
      </c>
      <c r="F42" s="53"/>
      <c r="G42" s="53">
        <v>0</v>
      </c>
      <c r="H42" s="53"/>
      <c r="I42" s="53" t="e">
        <f t="shared" si="2"/>
        <v>#REF!</v>
      </c>
      <c r="J42" s="53"/>
      <c r="K42" s="53" t="e">
        <f t="shared" si="3"/>
        <v>#REF!</v>
      </c>
      <c r="P42" s="27"/>
    </row>
    <row r="43" spans="1:16" ht="12.75">
      <c r="A43" s="48"/>
      <c r="B43" s="44" t="s">
        <v>2</v>
      </c>
      <c r="C43" s="43"/>
      <c r="D43" s="54">
        <f>SUM(D45:D47)</f>
        <v>3755999</v>
      </c>
      <c r="E43" s="53">
        <f t="shared" si="1"/>
        <v>3.3913526278977986</v>
      </c>
      <c r="F43" s="54">
        <v>0</v>
      </c>
      <c r="G43" s="53">
        <v>0</v>
      </c>
      <c r="H43" s="54">
        <f>SUM(H45:H47)</f>
        <v>5427324</v>
      </c>
      <c r="I43" s="53" t="e">
        <f t="shared" si="2"/>
        <v>#REF!</v>
      </c>
      <c r="J43" s="54">
        <f>SUM(J45:J47)</f>
        <v>3755999</v>
      </c>
      <c r="K43" s="53" t="e">
        <f t="shared" si="3"/>
        <v>#REF!</v>
      </c>
      <c r="P43" s="27">
        <f aca="true" t="shared" si="5" ref="P43:P48">+J43*0</f>
        <v>0</v>
      </c>
    </row>
    <row r="44" spans="1:16" ht="12.75">
      <c r="A44" s="48"/>
      <c r="B44" s="43"/>
      <c r="C44" s="43"/>
      <c r="D44" s="53"/>
      <c r="E44" s="53">
        <f t="shared" si="1"/>
        <v>0</v>
      </c>
      <c r="F44" s="53"/>
      <c r="G44" s="53">
        <v>0</v>
      </c>
      <c r="H44" s="53"/>
      <c r="I44" s="53" t="e">
        <f t="shared" si="2"/>
        <v>#REF!</v>
      </c>
      <c r="J44" s="53"/>
      <c r="K44" s="53" t="e">
        <f t="shared" si="3"/>
        <v>#REF!</v>
      </c>
      <c r="P44" s="27">
        <f t="shared" si="5"/>
        <v>0</v>
      </c>
    </row>
    <row r="45" spans="1:16" ht="12.75">
      <c r="A45" s="48"/>
      <c r="B45" s="43" t="s">
        <v>36</v>
      </c>
      <c r="C45" s="43"/>
      <c r="D45" s="53">
        <f>+'[3]PL'!J45</f>
        <v>956933</v>
      </c>
      <c r="E45" s="53">
        <f t="shared" si="1"/>
        <v>0.8640303802722323</v>
      </c>
      <c r="F45" s="53">
        <v>3845960</v>
      </c>
      <c r="G45" s="53">
        <v>25.955551661057513</v>
      </c>
      <c r="H45" s="53">
        <f>+TB!C296</f>
        <v>3614631</v>
      </c>
      <c r="I45" s="53" t="e">
        <f t="shared" si="2"/>
        <v>#REF!</v>
      </c>
      <c r="J45" s="53">
        <f>+D45</f>
        <v>956933</v>
      </c>
      <c r="K45" s="53" t="e">
        <f t="shared" si="3"/>
        <v>#REF!</v>
      </c>
      <c r="P45" s="27">
        <f t="shared" si="5"/>
        <v>0</v>
      </c>
    </row>
    <row r="46" spans="1:16" ht="12.75">
      <c r="A46" s="48"/>
      <c r="B46" s="43" t="s">
        <v>37</v>
      </c>
      <c r="C46" s="43"/>
      <c r="D46" s="53">
        <f>+'[3]PL'!J46</f>
        <v>2799066</v>
      </c>
      <c r="E46" s="53">
        <f t="shared" si="1"/>
        <v>2.527322247625566</v>
      </c>
      <c r="F46" s="53">
        <v>1523527</v>
      </c>
      <c r="G46" s="53">
        <v>10.281953986915093</v>
      </c>
      <c r="H46" s="53">
        <f>+TB!C297</f>
        <v>1812693</v>
      </c>
      <c r="I46" s="53" t="e">
        <f t="shared" si="2"/>
        <v>#REF!</v>
      </c>
      <c r="J46" s="53">
        <f>+D46</f>
        <v>2799066</v>
      </c>
      <c r="K46" s="53" t="e">
        <f t="shared" si="3"/>
        <v>#REF!</v>
      </c>
      <c r="P46" s="27">
        <f t="shared" si="5"/>
        <v>0</v>
      </c>
    </row>
    <row r="47" spans="1:16" ht="12.75">
      <c r="A47" s="48"/>
      <c r="B47" s="43" t="s">
        <v>166</v>
      </c>
      <c r="C47" s="43"/>
      <c r="D47" s="53">
        <f>+'[2]PL'!H47</f>
        <v>0</v>
      </c>
      <c r="E47" s="53">
        <f t="shared" si="1"/>
        <v>0</v>
      </c>
      <c r="F47" s="53">
        <v>0</v>
      </c>
      <c r="G47" s="53">
        <v>0</v>
      </c>
      <c r="H47" s="53">
        <f>+D59</f>
        <v>0</v>
      </c>
      <c r="I47" s="53" t="e">
        <f t="shared" si="2"/>
        <v>#REF!</v>
      </c>
      <c r="J47" s="53">
        <f>+D47</f>
        <v>0</v>
      </c>
      <c r="K47" s="53" t="e">
        <f t="shared" si="3"/>
        <v>#REF!</v>
      </c>
      <c r="L47" s="84"/>
      <c r="P47" s="27">
        <f t="shared" si="5"/>
        <v>0</v>
      </c>
    </row>
    <row r="48" spans="1:16" ht="12.75">
      <c r="A48" s="48"/>
      <c r="B48" s="43"/>
      <c r="C48" s="43"/>
      <c r="D48" s="53"/>
      <c r="E48" s="53">
        <f t="shared" si="1"/>
        <v>0</v>
      </c>
      <c r="F48" s="53"/>
      <c r="G48" s="53">
        <v>0</v>
      </c>
      <c r="H48" s="53"/>
      <c r="I48" s="53" t="e">
        <f t="shared" si="2"/>
        <v>#REF!</v>
      </c>
      <c r="J48" s="53"/>
      <c r="K48" s="53" t="e">
        <f t="shared" si="3"/>
        <v>#REF!</v>
      </c>
      <c r="P48" s="27">
        <f t="shared" si="5"/>
        <v>0</v>
      </c>
    </row>
    <row r="49" spans="1:16" ht="12.75">
      <c r="A49" s="44" t="s">
        <v>40</v>
      </c>
      <c r="B49" s="44" t="s">
        <v>172</v>
      </c>
      <c r="C49" s="43"/>
      <c r="D49" s="54">
        <f>SUM(D51:D53)</f>
        <v>55670112.05</v>
      </c>
      <c r="E49" s="53">
        <f t="shared" si="1"/>
        <v>50.26545022938834</v>
      </c>
      <c r="F49" s="54">
        <f>SUM(F51:F53)</f>
        <v>6564039</v>
      </c>
      <c r="G49" s="53">
        <v>44.29927855976045</v>
      </c>
      <c r="H49" s="54" t="e">
        <f>SUM(H51:H53)</f>
        <v>#REF!</v>
      </c>
      <c r="I49" s="53" t="e">
        <f t="shared" si="2"/>
        <v>#REF!</v>
      </c>
      <c r="J49" s="54" t="e">
        <f>SUM(J51:J53)</f>
        <v>#REF!</v>
      </c>
      <c r="K49" s="53" t="e">
        <f t="shared" si="3"/>
        <v>#REF!</v>
      </c>
      <c r="P49" s="54" t="e">
        <f>SUM(P51:P53)</f>
        <v>#REF!</v>
      </c>
    </row>
    <row r="50" spans="1:16" ht="12.75">
      <c r="A50" s="48"/>
      <c r="B50" s="43"/>
      <c r="C50" s="43"/>
      <c r="D50" s="53"/>
      <c r="E50" s="53">
        <f t="shared" si="1"/>
        <v>0</v>
      </c>
      <c r="F50" s="53"/>
      <c r="G50" s="53">
        <v>0</v>
      </c>
      <c r="H50" s="53"/>
      <c r="I50" s="53" t="e">
        <f t="shared" si="2"/>
        <v>#REF!</v>
      </c>
      <c r="J50" s="53"/>
      <c r="K50" s="53" t="e">
        <f t="shared" si="3"/>
        <v>#REF!</v>
      </c>
      <c r="P50" s="27">
        <f t="shared" si="4"/>
        <v>0</v>
      </c>
    </row>
    <row r="51" spans="1:16" ht="12.75">
      <c r="A51" s="48"/>
      <c r="B51" s="43" t="s">
        <v>36</v>
      </c>
      <c r="C51" s="43"/>
      <c r="D51" s="53">
        <f>+'[3]PL'!J51</f>
        <v>14167469</v>
      </c>
      <c r="E51" s="53">
        <f t="shared" si="1"/>
        <v>12.79203834287778</v>
      </c>
      <c r="F51" s="53">
        <v>2447693</v>
      </c>
      <c r="G51" s="53">
        <v>16.51895030419163</v>
      </c>
      <c r="H51" s="53" t="e">
        <f>+J51-D51</f>
        <v>#REF!</v>
      </c>
      <c r="I51" s="53" t="e">
        <f t="shared" si="2"/>
        <v>#REF!</v>
      </c>
      <c r="J51" s="53" t="e">
        <f>+TB!C124-TB!D124+TB!C120+TB!C141+TB!C144-TB!D102-SUM(TB!D251:D254)+TB!C225+TB!C234+TB!C235+TB!C236+TB!C239</f>
        <v>#REF!</v>
      </c>
      <c r="K51" s="53" t="e">
        <f t="shared" si="3"/>
        <v>#REF!</v>
      </c>
      <c r="M51" s="45"/>
      <c r="N51" s="46"/>
      <c r="O51" s="46"/>
      <c r="P51" s="27" t="e">
        <f t="shared" si="4"/>
        <v>#REF!</v>
      </c>
    </row>
    <row r="52" spans="1:16" ht="12.75">
      <c r="A52" s="48"/>
      <c r="B52" s="43" t="s">
        <v>37</v>
      </c>
      <c r="C52" s="43"/>
      <c r="D52" s="53">
        <f>+'[3]PL'!J52</f>
        <v>23426377</v>
      </c>
      <c r="E52" s="53">
        <f t="shared" si="1"/>
        <v>21.15205706952386</v>
      </c>
      <c r="F52" s="53">
        <v>1693312</v>
      </c>
      <c r="G52" s="53">
        <v>11.427796205443794</v>
      </c>
      <c r="H52" s="53" t="e">
        <f>+J52-D52</f>
        <v>#REF!</v>
      </c>
      <c r="I52" s="53" t="e">
        <f t="shared" si="2"/>
        <v>#REF!</v>
      </c>
      <c r="J52" s="53" t="e">
        <f>+TB!C114+TB!C115+TB!C129+TB!C131+TB!C132+TB!C133-TB!D142-TB!D143-SUM(TB!D247:D250)+TB!C223+TB!C224+TB!C227+TB!C228+TB!C229+TB!C232+TB!C233+TB!C237+TB!C238+TB!C240+TB!C242-TB!D137</f>
        <v>#REF!</v>
      </c>
      <c r="K52" s="53" t="e">
        <f t="shared" si="3"/>
        <v>#REF!</v>
      </c>
      <c r="M52" s="45">
        <v>1343844</v>
      </c>
      <c r="N52" s="45"/>
      <c r="O52" s="45"/>
      <c r="P52" s="27" t="e">
        <f t="shared" si="4"/>
        <v>#REF!</v>
      </c>
    </row>
    <row r="53" spans="1:16" ht="12.75">
      <c r="A53" s="48"/>
      <c r="B53" s="43" t="s">
        <v>524</v>
      </c>
      <c r="C53" s="43"/>
      <c r="D53" s="53">
        <f>+'[3]PL'!J53</f>
        <v>18076266.05</v>
      </c>
      <c r="E53" s="53">
        <f t="shared" si="1"/>
        <v>16.32135481698671</v>
      </c>
      <c r="F53" s="53">
        <v>2423034</v>
      </c>
      <c r="G53" s="53">
        <v>16.352532050125024</v>
      </c>
      <c r="H53" s="53" t="e">
        <f>+J53-D53</f>
        <v>#REF!</v>
      </c>
      <c r="I53" s="53" t="e">
        <f t="shared" si="2"/>
        <v>#REF!</v>
      </c>
      <c r="J53" s="53" t="e">
        <f>+TB!C130+TB!C134+TB!C140</f>
        <v>#REF!</v>
      </c>
      <c r="K53" s="53" t="e">
        <f t="shared" si="3"/>
        <v>#REF!</v>
      </c>
      <c r="M53" s="45"/>
      <c r="N53" s="45"/>
      <c r="O53" s="45"/>
      <c r="P53" s="27" t="e">
        <f t="shared" si="4"/>
        <v>#REF!</v>
      </c>
    </row>
    <row r="54" spans="1:16" ht="12.75">
      <c r="A54" s="48"/>
      <c r="B54" s="43"/>
      <c r="C54" s="43"/>
      <c r="D54" s="53"/>
      <c r="E54" s="53">
        <f t="shared" si="1"/>
        <v>0</v>
      </c>
      <c r="F54" s="53"/>
      <c r="G54" s="53">
        <v>0</v>
      </c>
      <c r="H54" s="53"/>
      <c r="I54" s="53" t="e">
        <f t="shared" si="2"/>
        <v>#REF!</v>
      </c>
      <c r="J54" s="53"/>
      <c r="K54" s="53" t="e">
        <f t="shared" si="3"/>
        <v>#REF!</v>
      </c>
      <c r="M54" s="45"/>
      <c r="N54" s="45"/>
      <c r="O54" s="45"/>
      <c r="P54" s="27"/>
    </row>
    <row r="55" spans="1:16" ht="12.75">
      <c r="A55" s="44" t="s">
        <v>41</v>
      </c>
      <c r="B55" s="44" t="s">
        <v>0</v>
      </c>
      <c r="C55" s="43"/>
      <c r="D55" s="54">
        <f>SUM(D57:D59)</f>
        <v>5369487</v>
      </c>
      <c r="E55" s="53">
        <f t="shared" si="1"/>
        <v>4.848197203437239</v>
      </c>
      <c r="F55" s="54">
        <v>0</v>
      </c>
      <c r="G55" s="53">
        <v>0</v>
      </c>
      <c r="H55" s="54">
        <f>SUM(H57:H59)</f>
        <v>8126792</v>
      </c>
      <c r="I55" s="53" t="e">
        <f t="shared" si="2"/>
        <v>#REF!</v>
      </c>
      <c r="J55" s="54">
        <f>SUM(J57:J59)</f>
        <v>8126792</v>
      </c>
      <c r="K55" s="53" t="e">
        <f t="shared" si="3"/>
        <v>#REF!</v>
      </c>
      <c r="M55" s="46"/>
      <c r="N55" s="45"/>
      <c r="O55" s="45"/>
      <c r="P55" s="27">
        <f>+J55*0</f>
        <v>0</v>
      </c>
    </row>
    <row r="56" spans="1:16" ht="12.75">
      <c r="A56" s="48"/>
      <c r="B56" s="44"/>
      <c r="C56" s="43"/>
      <c r="D56" s="53"/>
      <c r="E56" s="53"/>
      <c r="F56" s="53"/>
      <c r="G56" s="53"/>
      <c r="H56" s="53"/>
      <c r="I56" s="53"/>
      <c r="J56" s="53"/>
      <c r="K56" s="53"/>
      <c r="M56" s="45"/>
      <c r="N56" s="45"/>
      <c r="O56" s="45"/>
      <c r="P56" s="27">
        <f t="shared" si="4"/>
        <v>0</v>
      </c>
    </row>
    <row r="57" spans="1:16" ht="12.75">
      <c r="A57" s="48"/>
      <c r="B57" s="43" t="s">
        <v>36</v>
      </c>
      <c r="C57" s="43"/>
      <c r="D57" s="53">
        <f>+'[3]PL'!J57</f>
        <v>3845960</v>
      </c>
      <c r="E57" s="53">
        <f t="shared" si="1"/>
        <v>3.472579878958918</v>
      </c>
      <c r="F57" s="53">
        <v>3845960</v>
      </c>
      <c r="G57" s="53">
        <v>25.955551661057513</v>
      </c>
      <c r="H57" s="53">
        <f>+J57</f>
        <v>5234583</v>
      </c>
      <c r="I57" s="53" t="e">
        <f t="shared" si="2"/>
        <v>#REF!</v>
      </c>
      <c r="J57" s="53">
        <f>+TB!C304</f>
        <v>5234583</v>
      </c>
      <c r="K57" s="53" t="e">
        <f t="shared" si="3"/>
        <v>#REF!</v>
      </c>
      <c r="M57" s="45"/>
      <c r="N57" s="45"/>
      <c r="O57" s="45"/>
      <c r="P57" s="27">
        <f>+J57*0</f>
        <v>0</v>
      </c>
    </row>
    <row r="58" spans="1:16" ht="12.75">
      <c r="A58" s="48"/>
      <c r="B58" s="43" t="s">
        <v>37</v>
      </c>
      <c r="C58" s="43"/>
      <c r="D58" s="53">
        <f>+'[3]PL'!J58</f>
        <v>1523527</v>
      </c>
      <c r="E58" s="53">
        <f t="shared" si="1"/>
        <v>1.375617324478321</v>
      </c>
      <c r="F58" s="53">
        <v>1523527</v>
      </c>
      <c r="G58" s="53">
        <v>10.281953986915093</v>
      </c>
      <c r="H58" s="53">
        <f>+J58</f>
        <v>2892209</v>
      </c>
      <c r="I58" s="53" t="e">
        <f t="shared" si="2"/>
        <v>#REF!</v>
      </c>
      <c r="J58" s="53">
        <f>+TB!C305</f>
        <v>2892209</v>
      </c>
      <c r="K58" s="53" t="e">
        <f t="shared" si="3"/>
        <v>#REF!</v>
      </c>
      <c r="P58" s="27">
        <f>+J58*0</f>
        <v>0</v>
      </c>
    </row>
    <row r="59" spans="1:16" ht="12.75">
      <c r="A59" s="48"/>
      <c r="B59" s="43" t="s">
        <v>38</v>
      </c>
      <c r="C59" s="43"/>
      <c r="D59" s="53">
        <f>+'[3]PL'!J59</f>
        <v>0</v>
      </c>
      <c r="E59" s="53">
        <f t="shared" si="1"/>
        <v>0</v>
      </c>
      <c r="F59" s="53">
        <v>0</v>
      </c>
      <c r="G59" s="53">
        <v>0</v>
      </c>
      <c r="H59" s="53">
        <f>+J59-D59</f>
        <v>0</v>
      </c>
      <c r="I59" s="53" t="e">
        <f t="shared" si="2"/>
        <v>#REF!</v>
      </c>
      <c r="J59" s="53">
        <v>0</v>
      </c>
      <c r="K59" s="53" t="e">
        <f t="shared" si="3"/>
        <v>#REF!</v>
      </c>
      <c r="P59" s="27">
        <f>+J59*0</f>
        <v>0</v>
      </c>
    </row>
    <row r="60" spans="1:16" ht="12.75">
      <c r="A60" s="48"/>
      <c r="B60" s="43"/>
      <c r="C60" s="43"/>
      <c r="D60" s="53"/>
      <c r="E60" s="53"/>
      <c r="F60" s="53"/>
      <c r="G60" s="53"/>
      <c r="H60" s="53"/>
      <c r="I60" s="53"/>
      <c r="J60" s="53"/>
      <c r="K60" s="53"/>
      <c r="P60" s="27">
        <f t="shared" si="4"/>
        <v>0</v>
      </c>
    </row>
    <row r="61" spans="1:16" ht="12.75" hidden="1">
      <c r="A61" s="48"/>
      <c r="B61" s="44" t="s">
        <v>42</v>
      </c>
      <c r="C61" s="43"/>
      <c r="D61" s="53"/>
      <c r="E61" s="53">
        <f t="shared" si="1"/>
        <v>0</v>
      </c>
      <c r="F61" s="53"/>
      <c r="G61" s="53">
        <v>0</v>
      </c>
      <c r="H61" s="53"/>
      <c r="I61" s="53" t="e">
        <f t="shared" si="2"/>
        <v>#REF!</v>
      </c>
      <c r="J61" s="53" t="e">
        <f>+(TB!C134+TB!C133+TB!C153+TB!C150)*0</f>
        <v>#REF!</v>
      </c>
      <c r="K61" s="53" t="e">
        <f t="shared" si="3"/>
        <v>#REF!</v>
      </c>
      <c r="P61" s="27" t="e">
        <f t="shared" si="4"/>
        <v>#REF!</v>
      </c>
    </row>
    <row r="62" spans="1:16" ht="12.75" hidden="1">
      <c r="A62" s="43"/>
      <c r="B62" s="44"/>
      <c r="C62" s="43"/>
      <c r="D62" s="53"/>
      <c r="E62" s="53">
        <f t="shared" si="1"/>
        <v>0</v>
      </c>
      <c r="F62" s="53"/>
      <c r="G62" s="53">
        <v>0</v>
      </c>
      <c r="H62" s="53"/>
      <c r="I62" s="53" t="e">
        <f t="shared" si="2"/>
        <v>#REF!</v>
      </c>
      <c r="J62" s="54"/>
      <c r="K62" s="53" t="e">
        <f t="shared" si="3"/>
        <v>#REF!</v>
      </c>
      <c r="P62" s="27">
        <f t="shared" si="4"/>
        <v>0</v>
      </c>
    </row>
    <row r="63" spans="1:16" ht="12.75" hidden="1">
      <c r="A63" s="43"/>
      <c r="B63" s="43" t="s">
        <v>2</v>
      </c>
      <c r="C63" s="43"/>
      <c r="D63" s="53"/>
      <c r="E63" s="53">
        <f t="shared" si="1"/>
        <v>0</v>
      </c>
      <c r="F63" s="53"/>
      <c r="G63" s="53">
        <v>0</v>
      </c>
      <c r="H63" s="53"/>
      <c r="I63" s="53" t="e">
        <f t="shared" si="2"/>
        <v>#REF!</v>
      </c>
      <c r="J63" s="53">
        <v>0</v>
      </c>
      <c r="K63" s="53" t="e">
        <f t="shared" si="3"/>
        <v>#REF!</v>
      </c>
      <c r="P63" s="27">
        <f t="shared" si="4"/>
        <v>0</v>
      </c>
    </row>
    <row r="64" spans="1:16" ht="12.75" hidden="1">
      <c r="A64" s="43"/>
      <c r="B64" s="43"/>
      <c r="C64" s="43"/>
      <c r="D64" s="53"/>
      <c r="E64" s="53">
        <f t="shared" si="1"/>
        <v>0</v>
      </c>
      <c r="F64" s="53"/>
      <c r="G64" s="53">
        <v>0</v>
      </c>
      <c r="H64" s="53"/>
      <c r="I64" s="53" t="e">
        <f t="shared" si="2"/>
        <v>#REF!</v>
      </c>
      <c r="J64" s="53"/>
      <c r="K64" s="53" t="e">
        <f t="shared" si="3"/>
        <v>#REF!</v>
      </c>
      <c r="P64" s="27">
        <f t="shared" si="4"/>
        <v>0</v>
      </c>
    </row>
    <row r="65" spans="1:16" ht="12.75" hidden="1">
      <c r="A65" s="44" t="s">
        <v>40</v>
      </c>
      <c r="B65" s="43" t="s">
        <v>39</v>
      </c>
      <c r="C65" s="43"/>
      <c r="D65" s="53"/>
      <c r="E65" s="53">
        <f t="shared" si="1"/>
        <v>0</v>
      </c>
      <c r="F65" s="53"/>
      <c r="G65" s="53">
        <v>0</v>
      </c>
      <c r="H65" s="53"/>
      <c r="I65" s="53" t="e">
        <f t="shared" si="2"/>
        <v>#REF!</v>
      </c>
      <c r="J65" s="53" t="e">
        <f>+(TB!C139+TB!C138+TB!C157+TB!C154)*0</f>
        <v>#REF!</v>
      </c>
      <c r="K65" s="53" t="e">
        <f t="shared" si="3"/>
        <v>#REF!</v>
      </c>
      <c r="N65" s="82">
        <f>905+59771+291825+173642.13</f>
        <v>526143.13</v>
      </c>
      <c r="O65" s="82"/>
      <c r="P65" s="27" t="e">
        <f t="shared" si="4"/>
        <v>#REF!</v>
      </c>
    </row>
    <row r="66" spans="1:16" ht="12.75" hidden="1">
      <c r="A66" s="43"/>
      <c r="B66" s="43"/>
      <c r="C66" s="43"/>
      <c r="D66" s="53"/>
      <c r="E66" s="53">
        <f t="shared" si="1"/>
        <v>0</v>
      </c>
      <c r="F66" s="53"/>
      <c r="G66" s="53">
        <v>0</v>
      </c>
      <c r="H66" s="53"/>
      <c r="I66" s="53" t="e">
        <f t="shared" si="2"/>
        <v>#REF!</v>
      </c>
      <c r="J66" s="53"/>
      <c r="K66" s="53" t="e">
        <f t="shared" si="3"/>
        <v>#REF!</v>
      </c>
      <c r="N66" s="83" t="s">
        <v>396</v>
      </c>
      <c r="O66" s="83"/>
      <c r="P66" s="27">
        <f t="shared" si="4"/>
        <v>0</v>
      </c>
    </row>
    <row r="67" spans="1:16" ht="12.75" hidden="1">
      <c r="A67" s="44" t="s">
        <v>41</v>
      </c>
      <c r="B67" s="43" t="s">
        <v>0</v>
      </c>
      <c r="C67" s="43"/>
      <c r="D67" s="53"/>
      <c r="E67" s="53">
        <f t="shared" si="1"/>
        <v>0</v>
      </c>
      <c r="F67" s="53"/>
      <c r="G67" s="53">
        <v>0</v>
      </c>
      <c r="H67" s="53"/>
      <c r="I67" s="53" t="e">
        <f t="shared" si="2"/>
        <v>#REF!</v>
      </c>
      <c r="J67" s="53"/>
      <c r="K67" s="53" t="e">
        <f t="shared" si="3"/>
        <v>#REF!</v>
      </c>
      <c r="P67" s="27">
        <f t="shared" si="4"/>
        <v>0</v>
      </c>
    </row>
    <row r="68" spans="1:16" ht="12.75" hidden="1">
      <c r="A68" s="44"/>
      <c r="B68" s="43"/>
      <c r="C68" s="43"/>
      <c r="D68" s="53"/>
      <c r="E68" s="53">
        <f t="shared" si="1"/>
        <v>0</v>
      </c>
      <c r="F68" s="53"/>
      <c r="G68" s="53">
        <v>0</v>
      </c>
      <c r="H68" s="53"/>
      <c r="I68" s="53" t="e">
        <f t="shared" si="2"/>
        <v>#REF!</v>
      </c>
      <c r="J68" s="53"/>
      <c r="K68" s="53" t="e">
        <f t="shared" si="3"/>
        <v>#REF!</v>
      </c>
      <c r="P68" s="27">
        <f t="shared" si="4"/>
        <v>0</v>
      </c>
    </row>
    <row r="69" spans="1:16" ht="12.75">
      <c r="A69" s="43"/>
      <c r="B69" s="44" t="s">
        <v>414</v>
      </c>
      <c r="C69" s="43"/>
      <c r="D69" s="53">
        <f>+'[3]PL'!J69</f>
        <v>7632583</v>
      </c>
      <c r="E69" s="53">
        <f t="shared" si="1"/>
        <v>6.891583414877922</v>
      </c>
      <c r="F69" s="53">
        <v>983091</v>
      </c>
      <c r="G69" s="53">
        <v>6.634668389172194</v>
      </c>
      <c r="H69" s="54" t="e">
        <f>+J69-D69</f>
        <v>#REF!</v>
      </c>
      <c r="I69" s="53" t="e">
        <f t="shared" si="2"/>
        <v>#REF!</v>
      </c>
      <c r="J69" s="54" t="e">
        <f>+TB!C149+TB!C150+TB!C230+TB!C231</f>
        <v>#REF!</v>
      </c>
      <c r="K69" s="53" t="e">
        <f t="shared" si="3"/>
        <v>#REF!</v>
      </c>
      <c r="P69" s="27" t="e">
        <f t="shared" si="4"/>
        <v>#REF!</v>
      </c>
    </row>
    <row r="70" spans="1:16" ht="12.75">
      <c r="A70" s="43"/>
      <c r="B70" s="43"/>
      <c r="C70" s="43"/>
      <c r="D70" s="53"/>
      <c r="E70" s="53">
        <f t="shared" si="1"/>
        <v>0</v>
      </c>
      <c r="F70" s="53"/>
      <c r="G70" s="53">
        <v>0</v>
      </c>
      <c r="H70" s="53"/>
      <c r="I70" s="53" t="e">
        <f t="shared" si="2"/>
        <v>#REF!</v>
      </c>
      <c r="J70" s="53"/>
      <c r="K70" s="53" t="e">
        <f t="shared" si="3"/>
        <v>#REF!</v>
      </c>
      <c r="N70" s="40" t="e">
        <f>+'BS'!B34</f>
        <v>#REF!</v>
      </c>
      <c r="P70" s="27">
        <f t="shared" si="4"/>
        <v>0</v>
      </c>
    </row>
    <row r="71" spans="1:16" ht="12.75">
      <c r="A71" s="43"/>
      <c r="B71" s="44" t="s">
        <v>4</v>
      </c>
      <c r="C71" s="43"/>
      <c r="D71" s="54">
        <f>+D25-D41-D61-D69+D27</f>
        <v>46957093.69999999</v>
      </c>
      <c r="E71" s="53">
        <f t="shared" si="1"/>
        <v>42.39832415235949</v>
      </c>
      <c r="F71" s="54">
        <f>+F25-F41-F61-F69+F27</f>
        <v>7270355.1000000015</v>
      </c>
      <c r="G71" s="53">
        <v>49.06605305106736</v>
      </c>
      <c r="H71" s="54" t="e">
        <f>+H25-H41-H61-H69+H27</f>
        <v>#REF!</v>
      </c>
      <c r="I71" s="53" t="e">
        <f t="shared" si="2"/>
        <v>#REF!</v>
      </c>
      <c r="J71" s="54" t="e">
        <f>+J25-J41-J61-J69+J27</f>
        <v>#REF!</v>
      </c>
      <c r="K71" s="53" t="e">
        <f t="shared" si="3"/>
        <v>#REF!</v>
      </c>
      <c r="P71" s="54" t="e">
        <f>+P25-P41-P61-P69+P27</f>
        <v>#REF!</v>
      </c>
    </row>
    <row r="72" spans="1:16" ht="12.75">
      <c r="A72" s="43"/>
      <c r="B72" s="43"/>
      <c r="C72" s="43"/>
      <c r="D72" s="53"/>
      <c r="E72" s="53">
        <f t="shared" si="1"/>
        <v>0</v>
      </c>
      <c r="F72" s="53"/>
      <c r="G72" s="53">
        <v>0</v>
      </c>
      <c r="H72" s="53"/>
      <c r="I72" s="53" t="e">
        <f t="shared" si="2"/>
        <v>#REF!</v>
      </c>
      <c r="J72" s="53"/>
      <c r="K72" s="53" t="e">
        <f t="shared" si="3"/>
        <v>#REF!</v>
      </c>
      <c r="P72" s="27">
        <f t="shared" si="4"/>
        <v>0</v>
      </c>
    </row>
    <row r="73" spans="1:16" ht="12.75">
      <c r="A73" s="44" t="s">
        <v>1</v>
      </c>
      <c r="B73" s="44" t="s">
        <v>43</v>
      </c>
      <c r="C73" s="43"/>
      <c r="D73" s="53"/>
      <c r="E73" s="53"/>
      <c r="F73" s="53"/>
      <c r="G73" s="53"/>
      <c r="H73" s="53"/>
      <c r="I73" s="53"/>
      <c r="J73" s="53"/>
      <c r="K73" s="53"/>
      <c r="P73" s="27">
        <f t="shared" si="4"/>
        <v>0</v>
      </c>
    </row>
    <row r="74" spans="1:16" ht="12.75">
      <c r="A74" s="44"/>
      <c r="B74" s="44"/>
      <c r="C74" s="43"/>
      <c r="D74" s="53"/>
      <c r="E74" s="53"/>
      <c r="F74" s="53"/>
      <c r="G74" s="53"/>
      <c r="H74" s="53"/>
      <c r="I74" s="53"/>
      <c r="J74" s="53"/>
      <c r="K74" s="53"/>
      <c r="P74" s="27">
        <f t="shared" si="4"/>
        <v>0</v>
      </c>
    </row>
    <row r="75" spans="1:16" ht="12.75">
      <c r="A75" s="44"/>
      <c r="B75" s="44" t="s">
        <v>42</v>
      </c>
      <c r="C75" s="43"/>
      <c r="D75" s="53">
        <f>+'[3]PL'!J75</f>
        <v>733273.13</v>
      </c>
      <c r="E75" s="53">
        <f t="shared" si="1"/>
        <v>0.6620842434708699</v>
      </c>
      <c r="F75" s="53">
        <v>76318</v>
      </c>
      <c r="G75" s="53">
        <v>0.5150536645385254</v>
      </c>
      <c r="H75" s="54" t="e">
        <f>+J75-D75</f>
        <v>#REF!</v>
      </c>
      <c r="I75" s="53" t="e">
        <f t="shared" si="2"/>
        <v>#REF!</v>
      </c>
      <c r="J75" s="54" t="e">
        <f>+TB!C139+TB!C138+TB!C157+TB!C154</f>
        <v>#REF!</v>
      </c>
      <c r="K75" s="53" t="e">
        <f t="shared" si="3"/>
        <v>#REF!</v>
      </c>
      <c r="P75" s="81" t="e">
        <f t="shared" si="4"/>
        <v>#REF!</v>
      </c>
    </row>
    <row r="76" spans="1:16" ht="12.75">
      <c r="A76" s="44"/>
      <c r="B76" s="44"/>
      <c r="C76" s="43"/>
      <c r="D76" s="53"/>
      <c r="E76" s="53">
        <f aca="true" t="shared" si="6" ref="E76:E136">+D76/$D$25*100</f>
        <v>0</v>
      </c>
      <c r="F76" s="53"/>
      <c r="G76" s="53">
        <v>0</v>
      </c>
      <c r="H76" s="53"/>
      <c r="I76" s="53" t="e">
        <f aca="true" t="shared" si="7" ref="I76:I136">+H76/$H$25*100</f>
        <v>#REF!</v>
      </c>
      <c r="J76" s="53"/>
      <c r="K76" s="53" t="e">
        <f aca="true" t="shared" si="8" ref="K76:K136">+J76/$J$25*100</f>
        <v>#REF!</v>
      </c>
      <c r="P76" s="27">
        <f aca="true" t="shared" si="9" ref="P76:P135">+J76</f>
        <v>0</v>
      </c>
    </row>
    <row r="77" spans="1:16" ht="12.75">
      <c r="A77" s="44"/>
      <c r="B77" s="44" t="s">
        <v>65</v>
      </c>
      <c r="C77" s="43"/>
      <c r="D77" s="54">
        <f>SUM(D78:D81)</f>
        <v>2685767.5</v>
      </c>
      <c r="E77" s="53">
        <f t="shared" si="6"/>
        <v>2.4250231879847415</v>
      </c>
      <c r="F77" s="54">
        <f>SUM(F78:F81)</f>
        <v>375000</v>
      </c>
      <c r="G77" s="53">
        <v>2.5307938389625915</v>
      </c>
      <c r="H77" s="54" t="e">
        <f>SUM(H78:H81)</f>
        <v>#REF!</v>
      </c>
      <c r="I77" s="53" t="e">
        <f t="shared" si="7"/>
        <v>#REF!</v>
      </c>
      <c r="J77" s="54" t="e">
        <f>SUM(J78:J81)</f>
        <v>#REF!</v>
      </c>
      <c r="K77" s="53" t="e">
        <f t="shared" si="8"/>
        <v>#REF!</v>
      </c>
      <c r="P77" s="54" t="e">
        <f>SUM(P78:P81)</f>
        <v>#REF!</v>
      </c>
    </row>
    <row r="78" spans="1:16" ht="12.75">
      <c r="A78" s="44"/>
      <c r="B78" s="43" t="s">
        <v>66</v>
      </c>
      <c r="C78" s="43"/>
      <c r="D78" s="53">
        <f>+'[3]PL'!J78</f>
        <v>56458</v>
      </c>
      <c r="E78" s="53">
        <f t="shared" si="6"/>
        <v>0.050976847082721245</v>
      </c>
      <c r="F78" s="53">
        <v>0</v>
      </c>
      <c r="G78" s="53">
        <v>0</v>
      </c>
      <c r="H78" s="53" t="e">
        <f aca="true" t="shared" si="10" ref="H78:H125">+J78-D78</f>
        <v>#REF!</v>
      </c>
      <c r="I78" s="53" t="e">
        <f t="shared" si="7"/>
        <v>#REF!</v>
      </c>
      <c r="J78" s="53" t="e">
        <f>+TB!C156</f>
        <v>#REF!</v>
      </c>
      <c r="K78" s="53" t="e">
        <f t="shared" si="8"/>
        <v>#REF!</v>
      </c>
      <c r="P78" s="27" t="e">
        <f t="shared" si="9"/>
        <v>#REF!</v>
      </c>
    </row>
    <row r="79" spans="1:16" ht="12.75">
      <c r="A79" s="44"/>
      <c r="B79" s="43" t="s">
        <v>67</v>
      </c>
      <c r="C79" s="43"/>
      <c r="D79" s="53">
        <f>+'[3]PL'!J79</f>
        <v>2092156</v>
      </c>
      <c r="E79" s="53">
        <f t="shared" si="6"/>
        <v>1.8890417033050717</v>
      </c>
      <c r="F79" s="53">
        <v>300000</v>
      </c>
      <c r="G79" s="53">
        <v>2.024635071170073</v>
      </c>
      <c r="H79" s="53" t="e">
        <f t="shared" si="10"/>
        <v>#REF!</v>
      </c>
      <c r="I79" s="53" t="e">
        <f t="shared" si="7"/>
        <v>#REF!</v>
      </c>
      <c r="J79" s="53" t="e">
        <f>+TB!C176</f>
        <v>#REF!</v>
      </c>
      <c r="K79" s="53" t="e">
        <f t="shared" si="8"/>
        <v>#REF!</v>
      </c>
      <c r="P79" s="27" t="e">
        <f t="shared" si="9"/>
        <v>#REF!</v>
      </c>
    </row>
    <row r="80" spans="1:16" ht="12.75">
      <c r="A80" s="44"/>
      <c r="B80" s="43" t="s">
        <v>550</v>
      </c>
      <c r="C80" s="43"/>
      <c r="D80" s="53">
        <f>+'[2]PL'!H80</f>
        <v>0</v>
      </c>
      <c r="E80" s="53">
        <f t="shared" si="6"/>
        <v>0</v>
      </c>
      <c r="F80" s="53">
        <v>0</v>
      </c>
      <c r="G80" s="53">
        <v>0</v>
      </c>
      <c r="H80" s="53" t="e">
        <f t="shared" si="10"/>
        <v>#REF!</v>
      </c>
      <c r="I80" s="53" t="e">
        <f t="shared" si="7"/>
        <v>#REF!</v>
      </c>
      <c r="J80" s="53" t="e">
        <f>+TB!C147</f>
        <v>#REF!</v>
      </c>
      <c r="K80" s="53" t="e">
        <f t="shared" si="8"/>
        <v>#REF!</v>
      </c>
      <c r="P80" s="27" t="e">
        <f t="shared" si="9"/>
        <v>#REF!</v>
      </c>
    </row>
    <row r="81" spans="1:16" ht="12.75">
      <c r="A81" s="44"/>
      <c r="B81" s="43" t="s">
        <v>69</v>
      </c>
      <c r="C81" s="43"/>
      <c r="D81" s="53">
        <f>+'[3]PL'!J81</f>
        <v>537153.5</v>
      </c>
      <c r="E81" s="53">
        <f t="shared" si="6"/>
        <v>0.48500463759694823</v>
      </c>
      <c r="F81" s="53">
        <v>75000</v>
      </c>
      <c r="G81" s="53">
        <v>0.5061587677925182</v>
      </c>
      <c r="H81" s="53" t="e">
        <f t="shared" si="10"/>
        <v>#REF!</v>
      </c>
      <c r="I81" s="53" t="e">
        <f t="shared" si="7"/>
        <v>#REF!</v>
      </c>
      <c r="J81" s="53" t="e">
        <f>SUM(J78:J80)*0.25</f>
        <v>#REF!</v>
      </c>
      <c r="K81" s="53" t="e">
        <f t="shared" si="8"/>
        <v>#REF!</v>
      </c>
      <c r="P81" s="27" t="e">
        <f t="shared" si="9"/>
        <v>#REF!</v>
      </c>
    </row>
    <row r="82" spans="1:16" ht="12.75" hidden="1">
      <c r="A82" s="44"/>
      <c r="B82" s="43" t="s">
        <v>68</v>
      </c>
      <c r="C82" s="43"/>
      <c r="D82" s="53"/>
      <c r="E82" s="53">
        <f t="shared" si="6"/>
        <v>0</v>
      </c>
      <c r="F82" s="53">
        <v>0</v>
      </c>
      <c r="G82" s="53">
        <v>0</v>
      </c>
      <c r="H82" s="53">
        <f t="shared" si="10"/>
        <v>0</v>
      </c>
      <c r="I82" s="53" t="e">
        <f t="shared" si="7"/>
        <v>#REF!</v>
      </c>
      <c r="J82" s="53">
        <v>0</v>
      </c>
      <c r="K82" s="53" t="e">
        <f t="shared" si="8"/>
        <v>#REF!</v>
      </c>
      <c r="P82" s="27">
        <f t="shared" si="9"/>
        <v>0</v>
      </c>
    </row>
    <row r="83" spans="1:16" ht="12.75" hidden="1">
      <c r="A83" s="44"/>
      <c r="B83" s="43" t="s">
        <v>163</v>
      </c>
      <c r="C83" s="43"/>
      <c r="D83" s="53"/>
      <c r="E83" s="53">
        <f t="shared" si="6"/>
        <v>0</v>
      </c>
      <c r="F83" s="53">
        <v>0</v>
      </c>
      <c r="G83" s="53">
        <v>0</v>
      </c>
      <c r="H83" s="53">
        <f t="shared" si="10"/>
        <v>0</v>
      </c>
      <c r="I83" s="53" t="e">
        <f t="shared" si="7"/>
        <v>#REF!</v>
      </c>
      <c r="J83" s="53">
        <v>0</v>
      </c>
      <c r="K83" s="53" t="e">
        <f t="shared" si="8"/>
        <v>#REF!</v>
      </c>
      <c r="P83" s="27">
        <f t="shared" si="9"/>
        <v>0</v>
      </c>
    </row>
    <row r="84" spans="1:16" ht="12.75">
      <c r="A84" s="44"/>
      <c r="B84" s="43"/>
      <c r="C84" s="43"/>
      <c r="D84" s="53"/>
      <c r="E84" s="53">
        <f t="shared" si="6"/>
        <v>0</v>
      </c>
      <c r="F84" s="53">
        <v>0</v>
      </c>
      <c r="G84" s="53">
        <v>0</v>
      </c>
      <c r="H84" s="53">
        <f t="shared" si="10"/>
        <v>0</v>
      </c>
      <c r="I84" s="53" t="e">
        <f t="shared" si="7"/>
        <v>#REF!</v>
      </c>
      <c r="J84" s="53"/>
      <c r="K84" s="53" t="e">
        <f t="shared" si="8"/>
        <v>#REF!</v>
      </c>
      <c r="M84" s="45"/>
      <c r="P84" s="27">
        <f t="shared" si="9"/>
        <v>0</v>
      </c>
    </row>
    <row r="85" spans="1:16" ht="12.75">
      <c r="A85" s="44"/>
      <c r="B85" s="43" t="s">
        <v>6</v>
      </c>
      <c r="C85" s="43"/>
      <c r="D85" s="53">
        <f>+'[3]PL'!J85</f>
        <v>2242399</v>
      </c>
      <c r="E85" s="53">
        <f t="shared" si="6"/>
        <v>2.0246985532864614</v>
      </c>
      <c r="F85" s="53">
        <v>552579</v>
      </c>
      <c r="G85" s="53">
        <v>3.7292360766402926</v>
      </c>
      <c r="H85" s="53" t="e">
        <f t="shared" si="10"/>
        <v>#REF!</v>
      </c>
      <c r="I85" s="53" t="e">
        <f t="shared" si="7"/>
        <v>#REF!</v>
      </c>
      <c r="J85" s="53" t="e">
        <f>+TB!C155+TB!C135+TB!C136+TB!C226+TB!C241</f>
        <v>#REF!</v>
      </c>
      <c r="K85" s="53" t="e">
        <f t="shared" si="8"/>
        <v>#REF!</v>
      </c>
      <c r="M85" s="46"/>
      <c r="P85" s="27" t="e">
        <f t="shared" si="9"/>
        <v>#REF!</v>
      </c>
    </row>
    <row r="86" spans="1:16" ht="12.75">
      <c r="A86" s="44"/>
      <c r="B86" s="43" t="s">
        <v>304</v>
      </c>
      <c r="C86" s="43"/>
      <c r="D86" s="53">
        <f>+'[3]PL'!J86</f>
        <v>59759</v>
      </c>
      <c r="E86" s="53">
        <f t="shared" si="6"/>
        <v>0.05395737370817845</v>
      </c>
      <c r="F86" s="53">
        <v>1679</v>
      </c>
      <c r="G86" s="53">
        <v>0.011331207614981843</v>
      </c>
      <c r="H86" s="53" t="e">
        <f t="shared" si="10"/>
        <v>#REF!</v>
      </c>
      <c r="I86" s="53" t="e">
        <f t="shared" si="7"/>
        <v>#REF!</v>
      </c>
      <c r="J86" s="53" t="e">
        <f>+TB!C153</f>
        <v>#REF!</v>
      </c>
      <c r="K86" s="53" t="e">
        <f t="shared" si="8"/>
        <v>#REF!</v>
      </c>
      <c r="M86" s="46"/>
      <c r="P86" s="27" t="e">
        <f t="shared" si="9"/>
        <v>#REF!</v>
      </c>
    </row>
    <row r="87" spans="1:16" ht="12.75">
      <c r="A87" s="44"/>
      <c r="B87" s="43" t="s">
        <v>302</v>
      </c>
      <c r="C87" s="43"/>
      <c r="D87" s="53">
        <f>+'[3]PL'!J87</f>
        <v>1097658</v>
      </c>
      <c r="E87" s="53">
        <f t="shared" si="6"/>
        <v>0.9910932731433213</v>
      </c>
      <c r="F87" s="53">
        <v>156933</v>
      </c>
      <c r="G87" s="53">
        <v>1.059106852079777</v>
      </c>
      <c r="H87" s="53" t="e">
        <f t="shared" si="10"/>
        <v>#REF!</v>
      </c>
      <c r="I87" s="53" t="e">
        <f t="shared" si="7"/>
        <v>#REF!</v>
      </c>
      <c r="J87" s="53" t="e">
        <f>+TB!C151+TB!C152</f>
        <v>#REF!</v>
      </c>
      <c r="K87" s="53" t="e">
        <f t="shared" si="8"/>
        <v>#REF!</v>
      </c>
      <c r="M87" s="46"/>
      <c r="P87" s="27" t="e">
        <f t="shared" si="9"/>
        <v>#REF!</v>
      </c>
    </row>
    <row r="88" spans="1:16" ht="12.75">
      <c r="A88" s="44"/>
      <c r="B88" s="43"/>
      <c r="C88" s="43"/>
      <c r="D88" s="53"/>
      <c r="E88" s="53">
        <f t="shared" si="6"/>
        <v>0</v>
      </c>
      <c r="F88" s="53"/>
      <c r="G88" s="53">
        <v>0</v>
      </c>
      <c r="H88" s="53"/>
      <c r="I88" s="53" t="e">
        <f t="shared" si="7"/>
        <v>#REF!</v>
      </c>
      <c r="J88" s="53"/>
      <c r="K88" s="53" t="e">
        <f t="shared" si="8"/>
        <v>#REF!</v>
      </c>
      <c r="P88" s="27">
        <f t="shared" si="9"/>
        <v>0</v>
      </c>
    </row>
    <row r="89" spans="1:16" ht="12.75">
      <c r="A89" s="49"/>
      <c r="B89" s="44" t="s">
        <v>5</v>
      </c>
      <c r="C89" s="43"/>
      <c r="D89" s="54">
        <f>+D90+D91</f>
        <v>2061183.5</v>
      </c>
      <c r="E89" s="53">
        <f t="shared" si="6"/>
        <v>1.8610761289618507</v>
      </c>
      <c r="F89" s="54">
        <f>+F90+F91</f>
        <v>300537</v>
      </c>
      <c r="G89" s="53">
        <v>1.8257956608304604</v>
      </c>
      <c r="H89" s="54" t="e">
        <f>+H90+H91</f>
        <v>#REF!</v>
      </c>
      <c r="I89" s="53" t="e">
        <f t="shared" si="7"/>
        <v>#REF!</v>
      </c>
      <c r="J89" s="54" t="e">
        <f>+J90+J91</f>
        <v>#REF!</v>
      </c>
      <c r="K89" s="53" t="e">
        <f t="shared" si="8"/>
        <v>#REF!</v>
      </c>
      <c r="P89" s="54" t="e">
        <f>+P90+P91</f>
        <v>#REF!</v>
      </c>
    </row>
    <row r="90" spans="1:16" ht="12.75">
      <c r="A90" s="49"/>
      <c r="B90" s="43" t="s">
        <v>44</v>
      </c>
      <c r="C90" s="43"/>
      <c r="D90" s="53">
        <f>+'[3]PL'!J90+30000</f>
        <v>2061183.5</v>
      </c>
      <c r="E90" s="53">
        <f t="shared" si="6"/>
        <v>1.8610761289618507</v>
      </c>
      <c r="F90" s="53">
        <f>270537+30000</f>
        <v>300537</v>
      </c>
      <c r="G90" s="53">
        <v>1.8257956608304604</v>
      </c>
      <c r="H90" s="53" t="e">
        <f t="shared" si="10"/>
        <v>#REF!</v>
      </c>
      <c r="I90" s="53" t="e">
        <f t="shared" si="7"/>
        <v>#REF!</v>
      </c>
      <c r="J90" s="53" t="e">
        <f>+TB!C166</f>
        <v>#REF!</v>
      </c>
      <c r="K90" s="53" t="e">
        <f t="shared" si="8"/>
        <v>#REF!</v>
      </c>
      <c r="P90" s="27" t="e">
        <f t="shared" si="9"/>
        <v>#REF!</v>
      </c>
    </row>
    <row r="91" spans="1:16" ht="12.75">
      <c r="A91" s="49"/>
      <c r="B91" s="43" t="s">
        <v>45</v>
      </c>
      <c r="C91" s="43"/>
      <c r="D91" s="53">
        <f>+'[3]PL'!J91</f>
        <v>0</v>
      </c>
      <c r="E91" s="53">
        <f t="shared" si="6"/>
        <v>0</v>
      </c>
      <c r="F91" s="53">
        <v>0</v>
      </c>
      <c r="G91" s="53">
        <v>0</v>
      </c>
      <c r="H91" s="53">
        <f t="shared" si="10"/>
        <v>0</v>
      </c>
      <c r="I91" s="53" t="e">
        <f t="shared" si="7"/>
        <v>#REF!</v>
      </c>
      <c r="J91" s="53">
        <v>0</v>
      </c>
      <c r="K91" s="53" t="e">
        <f t="shared" si="8"/>
        <v>#REF!</v>
      </c>
      <c r="P91" s="27">
        <f t="shared" si="9"/>
        <v>0</v>
      </c>
    </row>
    <row r="92" spans="1:16" ht="12.75">
      <c r="A92" s="49"/>
      <c r="B92" s="43"/>
      <c r="C92" s="43"/>
      <c r="D92" s="53"/>
      <c r="E92" s="53"/>
      <c r="F92" s="53"/>
      <c r="G92" s="53">
        <v>0</v>
      </c>
      <c r="H92" s="53"/>
      <c r="I92" s="53" t="e">
        <f t="shared" si="7"/>
        <v>#REF!</v>
      </c>
      <c r="J92" s="53"/>
      <c r="K92" s="53" t="e">
        <f t="shared" si="8"/>
        <v>#REF!</v>
      </c>
      <c r="P92" s="27">
        <f t="shared" si="9"/>
        <v>0</v>
      </c>
    </row>
    <row r="93" spans="1:16" ht="12.75">
      <c r="A93" s="49"/>
      <c r="B93" s="44" t="s">
        <v>10</v>
      </c>
      <c r="C93" s="43"/>
      <c r="D93" s="54">
        <f>SUM(D94:D97)</f>
        <v>434282</v>
      </c>
      <c r="E93" s="53">
        <f t="shared" si="6"/>
        <v>0.392120285960862</v>
      </c>
      <c r="F93" s="54">
        <f>SUM(F94:F97)</f>
        <v>30100</v>
      </c>
      <c r="G93" s="53">
        <v>0.20313838547406401</v>
      </c>
      <c r="H93" s="54" t="e">
        <f>SUM(H94:H97)</f>
        <v>#REF!</v>
      </c>
      <c r="I93" s="53" t="e">
        <f t="shared" si="7"/>
        <v>#REF!</v>
      </c>
      <c r="J93" s="54" t="e">
        <f>SUM(J94:J97)</f>
        <v>#REF!</v>
      </c>
      <c r="K93" s="53" t="e">
        <f t="shared" si="8"/>
        <v>#REF!</v>
      </c>
      <c r="P93" s="54" t="e">
        <f>SUM(P94:P97)</f>
        <v>#REF!</v>
      </c>
    </row>
    <row r="94" spans="1:16" ht="12.75">
      <c r="A94" s="49"/>
      <c r="B94" s="53"/>
      <c r="C94" s="43"/>
      <c r="D94" s="53"/>
      <c r="E94" s="53">
        <f t="shared" si="6"/>
        <v>0</v>
      </c>
      <c r="F94" s="53"/>
      <c r="G94" s="53">
        <v>0</v>
      </c>
      <c r="H94" s="53"/>
      <c r="I94" s="53" t="e">
        <f t="shared" si="7"/>
        <v>#REF!</v>
      </c>
      <c r="J94" s="53"/>
      <c r="K94" s="53" t="e">
        <f t="shared" si="8"/>
        <v>#REF!</v>
      </c>
      <c r="P94" s="27">
        <f t="shared" si="9"/>
        <v>0</v>
      </c>
    </row>
    <row r="95" spans="1:16" ht="12.75">
      <c r="A95" s="49"/>
      <c r="B95" s="43" t="s">
        <v>46</v>
      </c>
      <c r="C95" s="43"/>
      <c r="D95" s="53">
        <f>+'[3]PL'!J95</f>
        <v>298253</v>
      </c>
      <c r="E95" s="53">
        <f t="shared" si="6"/>
        <v>0.26929748791956604</v>
      </c>
      <c r="F95" s="53">
        <v>19375</v>
      </c>
      <c r="G95" s="53">
        <v>0.1307576816797339</v>
      </c>
      <c r="H95" s="53" t="e">
        <f t="shared" si="10"/>
        <v>#REF!</v>
      </c>
      <c r="I95" s="53" t="e">
        <f t="shared" si="7"/>
        <v>#REF!</v>
      </c>
      <c r="J95" s="53" t="e">
        <f>+TB!C148</f>
        <v>#REF!</v>
      </c>
      <c r="K95" s="53" t="e">
        <f t="shared" si="8"/>
        <v>#REF!</v>
      </c>
      <c r="P95" s="27" t="e">
        <f t="shared" si="9"/>
        <v>#REF!</v>
      </c>
    </row>
    <row r="96" spans="1:16" ht="12.75">
      <c r="A96" s="49"/>
      <c r="B96" s="43" t="s">
        <v>47</v>
      </c>
      <c r="C96" s="43"/>
      <c r="D96" s="53">
        <f>+'[3]PL'!J96</f>
        <v>8895</v>
      </c>
      <c r="E96" s="53">
        <f t="shared" si="6"/>
        <v>0.008031440270657931</v>
      </c>
      <c r="F96" s="53">
        <v>0</v>
      </c>
      <c r="G96" s="53">
        <v>0</v>
      </c>
      <c r="H96" s="53" t="e">
        <f t="shared" si="10"/>
        <v>#REF!</v>
      </c>
      <c r="I96" s="53" t="e">
        <f t="shared" si="7"/>
        <v>#REF!</v>
      </c>
      <c r="J96" s="53" t="e">
        <f>+TB!C203</f>
        <v>#REF!</v>
      </c>
      <c r="K96" s="53" t="e">
        <f t="shared" si="8"/>
        <v>#REF!</v>
      </c>
      <c r="P96" s="27" t="e">
        <f t="shared" si="9"/>
        <v>#REF!</v>
      </c>
    </row>
    <row r="97" spans="1:16" ht="12.75">
      <c r="A97" s="49"/>
      <c r="B97" s="43" t="s">
        <v>38</v>
      </c>
      <c r="C97" s="43"/>
      <c r="D97" s="53">
        <f>+'[3]PL'!J97</f>
        <v>127134</v>
      </c>
      <c r="E97" s="53">
        <f t="shared" si="6"/>
        <v>0.11479135777063804</v>
      </c>
      <c r="F97" s="53">
        <v>10725</v>
      </c>
      <c r="G97" s="53">
        <v>0.0723807037943301</v>
      </c>
      <c r="H97" s="53" t="e">
        <f t="shared" si="10"/>
        <v>#REF!</v>
      </c>
      <c r="I97" s="53" t="e">
        <f t="shared" si="7"/>
        <v>#REF!</v>
      </c>
      <c r="J97" s="53" t="e">
        <f>+TB!C201-PL!J96-PL!J108</f>
        <v>#REF!</v>
      </c>
      <c r="K97" s="53" t="e">
        <f t="shared" si="8"/>
        <v>#REF!</v>
      </c>
      <c r="P97" s="27" t="e">
        <f t="shared" si="9"/>
        <v>#REF!</v>
      </c>
    </row>
    <row r="98" spans="1:16" ht="12.75">
      <c r="A98" s="49"/>
      <c r="B98" s="43"/>
      <c r="C98" s="43"/>
      <c r="D98" s="53"/>
      <c r="E98" s="53">
        <f t="shared" si="6"/>
        <v>0</v>
      </c>
      <c r="F98" s="53"/>
      <c r="G98" s="53">
        <v>0</v>
      </c>
      <c r="H98" s="53"/>
      <c r="I98" s="53" t="e">
        <f t="shared" si="7"/>
        <v>#REF!</v>
      </c>
      <c r="J98" s="53"/>
      <c r="K98" s="53" t="e">
        <f t="shared" si="8"/>
        <v>#REF!</v>
      </c>
      <c r="P98" s="27">
        <f t="shared" si="9"/>
        <v>0</v>
      </c>
    </row>
    <row r="99" spans="1:16" ht="12.75">
      <c r="A99" s="49"/>
      <c r="B99" s="44" t="s">
        <v>9</v>
      </c>
      <c r="C99" s="43"/>
      <c r="D99" s="54">
        <f>SUM(D100:D116)</f>
        <v>8832685.28</v>
      </c>
      <c r="E99" s="53">
        <f t="shared" si="6"/>
        <v>7.975175295766106</v>
      </c>
      <c r="F99" s="54">
        <f>SUM(F100:F116)</f>
        <v>1365704.1</v>
      </c>
      <c r="G99" s="53">
        <v>8.879402213807523</v>
      </c>
      <c r="H99" s="54" t="e">
        <f>SUM(H100:H116)</f>
        <v>#REF!</v>
      </c>
      <c r="I99" s="53" t="e">
        <f t="shared" si="7"/>
        <v>#REF!</v>
      </c>
      <c r="J99" s="54" t="e">
        <f>SUM(J100:J116)</f>
        <v>#REF!</v>
      </c>
      <c r="K99" s="53" t="e">
        <f t="shared" si="8"/>
        <v>#REF!</v>
      </c>
      <c r="P99" s="54" t="e">
        <f>SUM(P100:P116)</f>
        <v>#REF!</v>
      </c>
    </row>
    <row r="100" spans="1:16" ht="12.75">
      <c r="A100" s="49"/>
      <c r="B100" s="43"/>
      <c r="C100" s="43"/>
      <c r="D100" s="53"/>
      <c r="E100" s="53">
        <f t="shared" si="6"/>
        <v>0</v>
      </c>
      <c r="F100" s="53"/>
      <c r="G100" s="53">
        <v>0</v>
      </c>
      <c r="H100" s="53"/>
      <c r="I100" s="53" t="e">
        <f t="shared" si="7"/>
        <v>#REF!</v>
      </c>
      <c r="J100" s="53"/>
      <c r="K100" s="53" t="e">
        <f t="shared" si="8"/>
        <v>#REF!</v>
      </c>
      <c r="P100" s="27">
        <f t="shared" si="9"/>
        <v>0</v>
      </c>
    </row>
    <row r="101" spans="1:16" ht="12.75">
      <c r="A101" s="49"/>
      <c r="B101" s="43" t="s">
        <v>164</v>
      </c>
      <c r="C101" s="43"/>
      <c r="D101" s="53">
        <f>+'[3]PL'!J101</f>
        <v>1945983.5</v>
      </c>
      <c r="E101" s="53">
        <f t="shared" si="6"/>
        <v>1.757060174023144</v>
      </c>
      <c r="F101" s="53">
        <v>337485</v>
      </c>
      <c r="G101" s="53">
        <v>2.2776132233127737</v>
      </c>
      <c r="H101" s="53" t="e">
        <f t="shared" si="10"/>
        <v>#REF!</v>
      </c>
      <c r="I101" s="53" t="e">
        <f t="shared" si="7"/>
        <v>#REF!</v>
      </c>
      <c r="J101" s="53" t="e">
        <f>TB!C183-J102-J81</f>
        <v>#REF!</v>
      </c>
      <c r="K101" s="53" t="e">
        <f t="shared" si="8"/>
        <v>#REF!</v>
      </c>
      <c r="P101" s="27" t="e">
        <f t="shared" si="9"/>
        <v>#REF!</v>
      </c>
    </row>
    <row r="102" spans="1:16" ht="12.75">
      <c r="A102" s="49"/>
      <c r="B102" s="43" t="s">
        <v>52</v>
      </c>
      <c r="C102" s="43"/>
      <c r="D102" s="53">
        <f>+'[3]PL'!J102</f>
        <v>267736.5</v>
      </c>
      <c r="E102" s="53">
        <f t="shared" si="6"/>
        <v>0.24174364339797721</v>
      </c>
      <c r="F102" s="53">
        <v>35395.5</v>
      </c>
      <c r="G102" s="53">
        <v>0.2388765688720011</v>
      </c>
      <c r="H102" s="53" t="e">
        <f t="shared" si="10"/>
        <v>#REF!</v>
      </c>
      <c r="I102" s="53" t="e">
        <f t="shared" si="7"/>
        <v>#REF!</v>
      </c>
      <c r="J102" s="53" t="e">
        <f>+TB!C184</f>
        <v>#REF!</v>
      </c>
      <c r="K102" s="53" t="e">
        <f t="shared" si="8"/>
        <v>#REF!</v>
      </c>
      <c r="P102" s="27" t="e">
        <f t="shared" si="9"/>
        <v>#REF!</v>
      </c>
    </row>
    <row r="103" spans="1:16" ht="12.75">
      <c r="A103" s="49"/>
      <c r="B103" s="43" t="s">
        <v>12</v>
      </c>
      <c r="C103" s="43"/>
      <c r="D103" s="53">
        <f>+'[3]PL'!J103</f>
        <v>30256</v>
      </c>
      <c r="E103" s="53">
        <f t="shared" si="6"/>
        <v>0.02731863483181859</v>
      </c>
      <c r="F103" s="53">
        <v>3518</v>
      </c>
      <c r="G103" s="53">
        <v>0.02374222060125439</v>
      </c>
      <c r="H103" s="53" t="e">
        <f t="shared" si="10"/>
        <v>#REF!</v>
      </c>
      <c r="I103" s="53" t="e">
        <f t="shared" si="7"/>
        <v>#REF!</v>
      </c>
      <c r="J103" s="53" t="e">
        <f>+TB!C178</f>
        <v>#REF!</v>
      </c>
      <c r="K103" s="53" t="e">
        <f t="shared" si="8"/>
        <v>#REF!</v>
      </c>
      <c r="P103" s="27" t="e">
        <f t="shared" si="9"/>
        <v>#REF!</v>
      </c>
    </row>
    <row r="104" spans="1:16" ht="12.75">
      <c r="A104" s="49"/>
      <c r="B104" s="43" t="s">
        <v>49</v>
      </c>
      <c r="C104" s="43"/>
      <c r="D104" s="53">
        <f>+'[3]PL'!J104</f>
        <v>86639</v>
      </c>
      <c r="E104" s="53">
        <f t="shared" si="6"/>
        <v>0.07822776319387661</v>
      </c>
      <c r="F104" s="53">
        <v>2700</v>
      </c>
      <c r="G104" s="53">
        <v>0.018221715640530656</v>
      </c>
      <c r="H104" s="53" t="e">
        <f t="shared" si="10"/>
        <v>#REF!</v>
      </c>
      <c r="I104" s="53" t="e">
        <f t="shared" si="7"/>
        <v>#REF!</v>
      </c>
      <c r="J104" s="53" t="e">
        <f>+TB!C200</f>
        <v>#REF!</v>
      </c>
      <c r="K104" s="53" t="e">
        <f t="shared" si="8"/>
        <v>#REF!</v>
      </c>
      <c r="P104" s="27" t="e">
        <f t="shared" si="9"/>
        <v>#REF!</v>
      </c>
    </row>
    <row r="105" spans="1:16" ht="12.75">
      <c r="A105" s="49"/>
      <c r="B105" s="43" t="s">
        <v>50</v>
      </c>
      <c r="C105" s="43"/>
      <c r="D105" s="53">
        <f>+'[3]PL'!J105</f>
        <v>0</v>
      </c>
      <c r="E105" s="53">
        <f t="shared" si="6"/>
        <v>0</v>
      </c>
      <c r="F105" s="53">
        <v>0</v>
      </c>
      <c r="G105" s="53">
        <v>0</v>
      </c>
      <c r="H105" s="53">
        <f t="shared" si="10"/>
        <v>0</v>
      </c>
      <c r="I105" s="53" t="e">
        <f t="shared" si="7"/>
        <v>#REF!</v>
      </c>
      <c r="J105" s="53">
        <v>0</v>
      </c>
      <c r="K105" s="53" t="e">
        <f t="shared" si="8"/>
        <v>#REF!</v>
      </c>
      <c r="P105" s="27">
        <f t="shared" si="9"/>
        <v>0</v>
      </c>
    </row>
    <row r="106" spans="1:16" ht="12.75">
      <c r="A106" s="49"/>
      <c r="B106" s="43" t="s">
        <v>51</v>
      </c>
      <c r="C106" s="43"/>
      <c r="D106" s="53">
        <f>+'[3]PL'!J106</f>
        <v>68329.28</v>
      </c>
      <c r="E106" s="53">
        <f t="shared" si="6"/>
        <v>0.0616956190058529</v>
      </c>
      <c r="F106" s="53">
        <v>6135.6</v>
      </c>
      <c r="G106" s="53">
        <v>0.04140783647557032</v>
      </c>
      <c r="H106" s="53" t="e">
        <f t="shared" si="10"/>
        <v>#REF!</v>
      </c>
      <c r="I106" s="53" t="e">
        <f t="shared" si="7"/>
        <v>#REF!</v>
      </c>
      <c r="J106" s="53" t="e">
        <f>+TB!C169+TB!C171</f>
        <v>#REF!</v>
      </c>
      <c r="K106" s="53" t="e">
        <f t="shared" si="8"/>
        <v>#REF!</v>
      </c>
      <c r="P106" s="27" t="e">
        <f t="shared" si="9"/>
        <v>#REF!</v>
      </c>
    </row>
    <row r="107" spans="1:16" ht="12.75">
      <c r="A107" s="49"/>
      <c r="B107" s="43" t="s">
        <v>54</v>
      </c>
      <c r="C107" s="43"/>
      <c r="D107" s="53">
        <f>+'[3]PL'!J107</f>
        <v>59266</v>
      </c>
      <c r="E107" s="53">
        <f t="shared" si="6"/>
        <v>0.053512235984352216</v>
      </c>
      <c r="F107" s="53">
        <v>8966</v>
      </c>
      <c r="G107" s="53">
        <v>0.06050959349370292</v>
      </c>
      <c r="H107" s="53" t="e">
        <f t="shared" si="10"/>
        <v>#REF!</v>
      </c>
      <c r="I107" s="53" t="e">
        <f t="shared" si="7"/>
        <v>#REF!</v>
      </c>
      <c r="J107" s="53" t="e">
        <f>+TB!C170</f>
        <v>#REF!</v>
      </c>
      <c r="K107" s="53" t="e">
        <f t="shared" si="8"/>
        <v>#REF!</v>
      </c>
      <c r="P107" s="27" t="e">
        <f t="shared" si="9"/>
        <v>#REF!</v>
      </c>
    </row>
    <row r="108" spans="1:16" ht="12.75">
      <c r="A108" s="49"/>
      <c r="B108" s="43" t="s">
        <v>53</v>
      </c>
      <c r="C108" s="43"/>
      <c r="D108" s="53">
        <f>+'[3]PL'!J108</f>
        <v>94118</v>
      </c>
      <c r="E108" s="53">
        <f t="shared" si="6"/>
        <v>0.08498067401841294</v>
      </c>
      <c r="F108" s="53">
        <v>26549</v>
      </c>
      <c r="G108" s="53">
        <v>0.17917345501498091</v>
      </c>
      <c r="H108" s="53" t="e">
        <f t="shared" si="10"/>
        <v>#REF!</v>
      </c>
      <c r="I108" s="53" t="e">
        <f t="shared" si="7"/>
        <v>#REF!</v>
      </c>
      <c r="J108" s="53" t="e">
        <f>+TB!C209+TB!C202</f>
        <v>#REF!</v>
      </c>
      <c r="K108" s="53" t="e">
        <f t="shared" si="8"/>
        <v>#REF!</v>
      </c>
      <c r="P108" s="27" t="e">
        <f t="shared" si="9"/>
        <v>#REF!</v>
      </c>
    </row>
    <row r="109" spans="1:16" ht="12.75">
      <c r="A109" s="49"/>
      <c r="B109" s="43" t="s">
        <v>55</v>
      </c>
      <c r="C109" s="43"/>
      <c r="D109" s="53">
        <f>+'[3]PL'!J109</f>
        <v>230625</v>
      </c>
      <c r="E109" s="53">
        <f t="shared" si="6"/>
        <v>0.20823506603940253</v>
      </c>
      <c r="F109" s="53">
        <v>28687</v>
      </c>
      <c r="G109" s="53">
        <v>0.19360235428885295</v>
      </c>
      <c r="H109" s="53" t="e">
        <f t="shared" si="10"/>
        <v>#REF!</v>
      </c>
      <c r="I109" s="53" t="e">
        <f t="shared" si="7"/>
        <v>#REF!</v>
      </c>
      <c r="J109" s="53" t="e">
        <f>+TB!C164</f>
        <v>#REF!</v>
      </c>
      <c r="K109" s="53" t="e">
        <f t="shared" si="8"/>
        <v>#REF!</v>
      </c>
      <c r="P109" s="27" t="e">
        <f t="shared" si="9"/>
        <v>#REF!</v>
      </c>
    </row>
    <row r="110" spans="1:16" ht="12.75">
      <c r="A110" s="49"/>
      <c r="B110" s="43" t="s">
        <v>56</v>
      </c>
      <c r="C110" s="43"/>
      <c r="D110" s="53">
        <f>+'[3]PL'!J110</f>
        <v>29571</v>
      </c>
      <c r="E110" s="53">
        <f t="shared" si="6"/>
        <v>0.02670013718309451</v>
      </c>
      <c r="F110" s="53">
        <v>2950</v>
      </c>
      <c r="G110" s="53">
        <v>0.019908911533172386</v>
      </c>
      <c r="H110" s="53" t="e">
        <f t="shared" si="10"/>
        <v>#REF!</v>
      </c>
      <c r="I110" s="53" t="e">
        <f t="shared" si="7"/>
        <v>#REF!</v>
      </c>
      <c r="J110" s="53" t="e">
        <f>+TB!C165</f>
        <v>#REF!</v>
      </c>
      <c r="K110" s="53" t="e">
        <f t="shared" si="8"/>
        <v>#REF!</v>
      </c>
      <c r="P110" s="27" t="e">
        <f t="shared" si="9"/>
        <v>#REF!</v>
      </c>
    </row>
    <row r="111" spans="1:16" ht="12.75">
      <c r="A111" s="49"/>
      <c r="B111" s="43" t="s">
        <v>165</v>
      </c>
      <c r="C111" s="43"/>
      <c r="D111" s="53">
        <f>+'[3]PL'!J111</f>
        <v>196253</v>
      </c>
      <c r="E111" s="53">
        <f t="shared" si="6"/>
        <v>0.17720002781758637</v>
      </c>
      <c r="F111" s="53">
        <v>25092</v>
      </c>
      <c r="G111" s="53">
        <v>0.16934047735266491</v>
      </c>
      <c r="H111" s="53" t="e">
        <f t="shared" si="10"/>
        <v>#REF!</v>
      </c>
      <c r="I111" s="53" t="e">
        <f t="shared" si="7"/>
        <v>#REF!</v>
      </c>
      <c r="J111" s="53" t="e">
        <f>+TB!C220</f>
        <v>#REF!</v>
      </c>
      <c r="K111" s="53" t="e">
        <f t="shared" si="8"/>
        <v>#REF!</v>
      </c>
      <c r="P111" s="27" t="e">
        <f t="shared" si="9"/>
        <v>#REF!</v>
      </c>
    </row>
    <row r="112" spans="1:16" ht="12.75">
      <c r="A112" s="49"/>
      <c r="B112" s="43" t="s">
        <v>549</v>
      </c>
      <c r="C112" s="43"/>
      <c r="D112" s="53">
        <v>0</v>
      </c>
      <c r="E112" s="53">
        <f t="shared" si="6"/>
        <v>0</v>
      </c>
      <c r="F112" s="53"/>
      <c r="G112" s="53"/>
      <c r="H112" s="53" t="e">
        <f t="shared" si="10"/>
        <v>#REF!</v>
      </c>
      <c r="I112" s="53" t="e">
        <f t="shared" si="7"/>
        <v>#REF!</v>
      </c>
      <c r="J112" s="53" t="e">
        <f>+TB!C167</f>
        <v>#REF!</v>
      </c>
      <c r="K112" s="53" t="e">
        <f t="shared" si="8"/>
        <v>#REF!</v>
      </c>
      <c r="P112" s="27" t="e">
        <f>+J112</f>
        <v>#REF!</v>
      </c>
    </row>
    <row r="113" spans="1:16" ht="12.75">
      <c r="A113" s="49"/>
      <c r="B113" s="43" t="s">
        <v>30</v>
      </c>
      <c r="C113" s="43"/>
      <c r="D113" s="53">
        <f>+'[3]PL'!J112</f>
        <v>40111</v>
      </c>
      <c r="E113" s="53">
        <f t="shared" si="6"/>
        <v>0.03621687472696574</v>
      </c>
      <c r="F113" s="53">
        <v>4200</v>
      </c>
      <c r="G113" s="53">
        <v>0.028344890996381024</v>
      </c>
      <c r="H113" s="53" t="e">
        <f t="shared" si="10"/>
        <v>#REF!</v>
      </c>
      <c r="I113" s="53" t="e">
        <f t="shared" si="7"/>
        <v>#REF!</v>
      </c>
      <c r="J113" s="53" t="e">
        <f>+TB!C182+TB!C181</f>
        <v>#REF!</v>
      </c>
      <c r="K113" s="53" t="e">
        <f t="shared" si="8"/>
        <v>#REF!</v>
      </c>
      <c r="P113" s="27" t="e">
        <f t="shared" si="9"/>
        <v>#REF!</v>
      </c>
    </row>
    <row r="114" spans="1:16" ht="12.75">
      <c r="A114" s="49"/>
      <c r="B114" s="43"/>
      <c r="C114" s="43"/>
      <c r="D114" s="53"/>
      <c r="E114" s="53">
        <f t="shared" si="6"/>
        <v>0</v>
      </c>
      <c r="F114" s="53"/>
      <c r="G114" s="53">
        <v>0</v>
      </c>
      <c r="H114" s="53"/>
      <c r="I114" s="53" t="e">
        <f t="shared" si="7"/>
        <v>#REF!</v>
      </c>
      <c r="J114" s="53"/>
      <c r="K114" s="53" t="e">
        <f t="shared" si="8"/>
        <v>#REF!</v>
      </c>
      <c r="P114" s="27">
        <f t="shared" si="9"/>
        <v>0</v>
      </c>
    </row>
    <row r="115" spans="1:16" ht="12.75">
      <c r="A115" s="44"/>
      <c r="B115" s="44" t="s">
        <v>161</v>
      </c>
      <c r="C115" s="43"/>
      <c r="D115" s="53">
        <f>+'[3]PL'!J114</f>
        <v>4550000</v>
      </c>
      <c r="E115" s="53">
        <f t="shared" si="6"/>
        <v>4.1082690535687</v>
      </c>
      <c r="F115" s="53">
        <v>650000</v>
      </c>
      <c r="G115" s="53">
        <v>4.3867093208684915</v>
      </c>
      <c r="H115" s="53" t="e">
        <f t="shared" si="10"/>
        <v>#REF!</v>
      </c>
      <c r="I115" s="53" t="e">
        <f t="shared" si="7"/>
        <v>#REF!</v>
      </c>
      <c r="J115" s="53" t="e">
        <f>+TB!C173+TB!C177</f>
        <v>#REF!</v>
      </c>
      <c r="K115" s="53" t="e">
        <f t="shared" si="8"/>
        <v>#REF!</v>
      </c>
      <c r="P115" s="27" t="e">
        <f t="shared" si="9"/>
        <v>#REF!</v>
      </c>
    </row>
    <row r="116" spans="1:16" ht="12.75">
      <c r="A116" s="44"/>
      <c r="B116" s="44" t="s">
        <v>162</v>
      </c>
      <c r="C116" s="43"/>
      <c r="D116" s="53">
        <f>+'[3]PL'!J115+50000</f>
        <v>1233797</v>
      </c>
      <c r="E116" s="53">
        <f t="shared" si="6"/>
        <v>1.1140153919749234</v>
      </c>
      <c r="F116" s="53">
        <f>184026+50000</f>
        <v>234026</v>
      </c>
      <c r="G116" s="53">
        <v>1.2419516453571462</v>
      </c>
      <c r="H116" s="53" t="e">
        <f t="shared" si="10"/>
        <v>#REF!</v>
      </c>
      <c r="I116" s="53" t="e">
        <f t="shared" si="7"/>
        <v>#REF!</v>
      </c>
      <c r="J116" s="53" t="e">
        <f>+TB!C218</f>
        <v>#REF!</v>
      </c>
      <c r="K116" s="53" t="e">
        <f t="shared" si="8"/>
        <v>#REF!</v>
      </c>
      <c r="P116" s="27" t="e">
        <f t="shared" si="9"/>
        <v>#REF!</v>
      </c>
    </row>
    <row r="117" spans="1:16" ht="12.75">
      <c r="A117" s="44"/>
      <c r="B117" s="44"/>
      <c r="C117" s="43"/>
      <c r="D117" s="53"/>
      <c r="E117" s="53">
        <f t="shared" si="6"/>
        <v>0</v>
      </c>
      <c r="F117" s="53"/>
      <c r="G117" s="53">
        <v>0</v>
      </c>
      <c r="H117" s="53"/>
      <c r="I117" s="53" t="e">
        <f t="shared" si="7"/>
        <v>#REF!</v>
      </c>
      <c r="J117" s="53"/>
      <c r="K117" s="53" t="e">
        <f t="shared" si="8"/>
        <v>#REF!</v>
      </c>
      <c r="P117" s="27">
        <f t="shared" si="9"/>
        <v>0</v>
      </c>
    </row>
    <row r="118" spans="1:16" ht="12.75">
      <c r="A118" s="49"/>
      <c r="B118" s="44" t="s">
        <v>11</v>
      </c>
      <c r="C118" s="43"/>
      <c r="D118" s="54">
        <f>SUM(D119:D125)</f>
        <v>3707956.5</v>
      </c>
      <c r="E118" s="53">
        <f t="shared" si="6"/>
        <v>3.347974272731628</v>
      </c>
      <c r="F118" s="54">
        <f>SUM(F119:F125)</f>
        <v>416164.5</v>
      </c>
      <c r="G118" s="53">
        <v>2.808604140253193</v>
      </c>
      <c r="H118" s="54" t="e">
        <f>SUM(H119:H125)</f>
        <v>#REF!</v>
      </c>
      <c r="I118" s="53" t="e">
        <f t="shared" si="7"/>
        <v>#REF!</v>
      </c>
      <c r="J118" s="54" t="e">
        <f>SUM(J119:J125)</f>
        <v>#REF!</v>
      </c>
      <c r="K118" s="53" t="e">
        <f t="shared" si="8"/>
        <v>#REF!</v>
      </c>
      <c r="P118" s="54" t="e">
        <f>SUM(P119:P125)</f>
        <v>#REF!</v>
      </c>
    </row>
    <row r="119" spans="1:16" ht="12.75">
      <c r="A119" s="49"/>
      <c r="B119" s="44"/>
      <c r="C119" s="43"/>
      <c r="D119" s="53"/>
      <c r="E119" s="53"/>
      <c r="F119" s="53"/>
      <c r="G119" s="53">
        <v>0</v>
      </c>
      <c r="H119" s="53"/>
      <c r="I119" s="53" t="e">
        <f t="shared" si="7"/>
        <v>#REF!</v>
      </c>
      <c r="J119" s="53"/>
      <c r="K119" s="53" t="e">
        <f t="shared" si="8"/>
        <v>#REF!</v>
      </c>
      <c r="P119" s="27">
        <f t="shared" si="9"/>
        <v>0</v>
      </c>
    </row>
    <row r="120" spans="1:16" ht="12.75">
      <c r="A120" s="49"/>
      <c r="B120" s="43" t="s">
        <v>7</v>
      </c>
      <c r="C120" s="43"/>
      <c r="D120" s="53">
        <f>+'[3]PL'!J119</f>
        <v>161042</v>
      </c>
      <c r="E120" s="53">
        <f t="shared" si="6"/>
        <v>0.1454074428406177</v>
      </c>
      <c r="F120" s="53">
        <v>13654</v>
      </c>
      <c r="G120" s="53">
        <v>0.0921478908725206</v>
      </c>
      <c r="H120" s="53" t="e">
        <f t="shared" si="10"/>
        <v>#REF!</v>
      </c>
      <c r="I120" s="53" t="e">
        <f t="shared" si="7"/>
        <v>#REF!</v>
      </c>
      <c r="J120" s="53" t="e">
        <f>+TB!C214</f>
        <v>#REF!</v>
      </c>
      <c r="K120" s="53" t="e">
        <f t="shared" si="8"/>
        <v>#REF!</v>
      </c>
      <c r="P120" s="27" t="e">
        <f t="shared" si="9"/>
        <v>#REF!</v>
      </c>
    </row>
    <row r="121" spans="1:16" ht="12.75">
      <c r="A121" s="49"/>
      <c r="B121" s="43" t="s">
        <v>57</v>
      </c>
      <c r="C121" s="43"/>
      <c r="D121" s="53">
        <f>+'[3]PL'!J120</f>
        <v>0</v>
      </c>
      <c r="E121" s="53">
        <f t="shared" si="6"/>
        <v>0</v>
      </c>
      <c r="F121" s="53">
        <v>0</v>
      </c>
      <c r="G121" s="53">
        <v>0</v>
      </c>
      <c r="H121" s="53">
        <f t="shared" si="10"/>
        <v>0</v>
      </c>
      <c r="I121" s="53" t="e">
        <f t="shared" si="7"/>
        <v>#REF!</v>
      </c>
      <c r="J121" s="53">
        <v>0</v>
      </c>
      <c r="K121" s="53" t="e">
        <f t="shared" si="8"/>
        <v>#REF!</v>
      </c>
      <c r="P121" s="27">
        <f t="shared" si="9"/>
        <v>0</v>
      </c>
    </row>
    <row r="122" spans="1:16" ht="12.75">
      <c r="A122" s="49"/>
      <c r="B122" s="43" t="s">
        <v>30</v>
      </c>
      <c r="C122" s="43"/>
      <c r="D122" s="53">
        <f>+'[3]PL'!J121</f>
        <v>120663</v>
      </c>
      <c r="E122" s="53">
        <f t="shared" si="6"/>
        <v>0.1089485865518154</v>
      </c>
      <c r="F122" s="53">
        <v>14044</v>
      </c>
      <c r="G122" s="53">
        <v>0.09477991646504168</v>
      </c>
      <c r="H122" s="53" t="e">
        <f t="shared" si="10"/>
        <v>#REF!</v>
      </c>
      <c r="I122" s="53" t="e">
        <f t="shared" si="7"/>
        <v>#REF!</v>
      </c>
      <c r="J122" s="53" t="e">
        <f>TB!C210-J120-J121-J123-J124-J125</f>
        <v>#REF!</v>
      </c>
      <c r="K122" s="53" t="e">
        <f t="shared" si="8"/>
        <v>#REF!</v>
      </c>
      <c r="P122" s="27" t="e">
        <f t="shared" si="9"/>
        <v>#REF!</v>
      </c>
    </row>
    <row r="123" spans="1:16" ht="12.75" hidden="1">
      <c r="A123" s="49"/>
      <c r="B123" s="43" t="s">
        <v>58</v>
      </c>
      <c r="C123" s="43"/>
      <c r="D123" s="53"/>
      <c r="E123" s="53">
        <f t="shared" si="6"/>
        <v>0</v>
      </c>
      <c r="F123" s="53">
        <v>0</v>
      </c>
      <c r="G123" s="53">
        <v>0</v>
      </c>
      <c r="H123" s="53">
        <f t="shared" si="10"/>
        <v>0</v>
      </c>
      <c r="I123" s="53" t="e">
        <f t="shared" si="7"/>
        <v>#REF!</v>
      </c>
      <c r="J123" s="53"/>
      <c r="K123" s="53" t="e">
        <f t="shared" si="8"/>
        <v>#REF!</v>
      </c>
      <c r="P123" s="27">
        <f t="shared" si="9"/>
        <v>0</v>
      </c>
    </row>
    <row r="124" spans="1:16" ht="12.75" hidden="1">
      <c r="A124" s="49"/>
      <c r="B124" s="43" t="s">
        <v>59</v>
      </c>
      <c r="C124" s="43"/>
      <c r="D124" s="53"/>
      <c r="E124" s="53">
        <f t="shared" si="6"/>
        <v>0</v>
      </c>
      <c r="F124" s="53">
        <v>0</v>
      </c>
      <c r="G124" s="53">
        <v>0</v>
      </c>
      <c r="H124" s="53">
        <f t="shared" si="10"/>
        <v>0</v>
      </c>
      <c r="I124" s="53" t="e">
        <f t="shared" si="7"/>
        <v>#REF!</v>
      </c>
      <c r="J124" s="53"/>
      <c r="K124" s="53" t="e">
        <f t="shared" si="8"/>
        <v>#REF!</v>
      </c>
      <c r="P124" s="27">
        <f t="shared" si="9"/>
        <v>0</v>
      </c>
    </row>
    <row r="125" spans="1:16" ht="12.75">
      <c r="A125" s="49"/>
      <c r="B125" s="43" t="s">
        <v>160</v>
      </c>
      <c r="C125" s="43"/>
      <c r="D125" s="53">
        <f>+'[3]PL'!J124</f>
        <v>3426251.5</v>
      </c>
      <c r="E125" s="53">
        <f t="shared" si="6"/>
        <v>3.093618243339195</v>
      </c>
      <c r="F125" s="53">
        <v>388466.5</v>
      </c>
      <c r="G125" s="53">
        <v>2.6216763329156305</v>
      </c>
      <c r="H125" s="53" t="e">
        <f t="shared" si="10"/>
        <v>#REF!</v>
      </c>
      <c r="I125" s="53" t="e">
        <f t="shared" si="7"/>
        <v>#REF!</v>
      </c>
      <c r="J125" s="53" t="e">
        <f>+TB!C211</f>
        <v>#REF!</v>
      </c>
      <c r="K125" s="53" t="e">
        <f t="shared" si="8"/>
        <v>#REF!</v>
      </c>
      <c r="P125" s="27" t="e">
        <f t="shared" si="9"/>
        <v>#REF!</v>
      </c>
    </row>
    <row r="126" spans="1:16" ht="12.75">
      <c r="A126" s="49"/>
      <c r="B126" s="43"/>
      <c r="C126" s="43"/>
      <c r="D126" s="53"/>
      <c r="E126" s="53">
        <f t="shared" si="6"/>
        <v>0</v>
      </c>
      <c r="F126" s="53"/>
      <c r="G126" s="53">
        <v>0</v>
      </c>
      <c r="H126" s="53"/>
      <c r="I126" s="53" t="e">
        <f t="shared" si="7"/>
        <v>#REF!</v>
      </c>
      <c r="J126" s="53"/>
      <c r="K126" s="53" t="e">
        <f t="shared" si="8"/>
        <v>#REF!</v>
      </c>
      <c r="P126" s="27">
        <f t="shared" si="9"/>
        <v>0</v>
      </c>
    </row>
    <row r="127" spans="1:16" ht="12.75">
      <c r="A127" s="49"/>
      <c r="B127" s="44" t="s">
        <v>462</v>
      </c>
      <c r="C127" s="43"/>
      <c r="D127" s="54">
        <f>D71-D75-D77-D82-D83-D85-D86-D87-D89-D93-D99-D118</f>
        <v>25102129.789999984</v>
      </c>
      <c r="E127" s="53">
        <f t="shared" si="6"/>
        <v>22.665121537345474</v>
      </c>
      <c r="F127" s="54">
        <f>F71-F75-F77-F82-F83-F85-F86-F87-F89-F93-F99-F118</f>
        <v>3995340.500000002</v>
      </c>
      <c r="G127" s="53">
        <v>27.503591010865954</v>
      </c>
      <c r="H127" s="54" t="e">
        <f>H71-H75-H77-H82-H83-H85-H86-H87-H89-H93-H99-H118</f>
        <v>#REF!</v>
      </c>
      <c r="I127" s="53" t="e">
        <f t="shared" si="7"/>
        <v>#REF!</v>
      </c>
      <c r="J127" s="54" t="e">
        <f>J71-J75-J77-J82-J83-J85-J86-J87-J89-J93-J99-J118</f>
        <v>#REF!</v>
      </c>
      <c r="K127" s="53" t="e">
        <f t="shared" si="8"/>
        <v>#REF!</v>
      </c>
      <c r="P127" s="54" t="e">
        <f>P71-P75-P77-P82-P83-P85-P86-P87-P89-P93-P99-P118</f>
        <v>#REF!</v>
      </c>
    </row>
    <row r="128" spans="1:16" ht="12.75">
      <c r="A128" s="49"/>
      <c r="B128" s="43"/>
      <c r="C128" s="43"/>
      <c r="D128" s="53"/>
      <c r="E128" s="53">
        <f t="shared" si="6"/>
        <v>0</v>
      </c>
      <c r="F128" s="53"/>
      <c r="G128" s="53">
        <v>0</v>
      </c>
      <c r="H128" s="53"/>
      <c r="I128" s="53" t="e">
        <f t="shared" si="7"/>
        <v>#REF!</v>
      </c>
      <c r="J128" s="53"/>
      <c r="K128" s="53" t="e">
        <f t="shared" si="8"/>
        <v>#REF!</v>
      </c>
      <c r="P128" s="27">
        <f t="shared" si="9"/>
        <v>0</v>
      </c>
    </row>
    <row r="129" spans="1:16" ht="12.75">
      <c r="A129" s="49"/>
      <c r="B129" s="43" t="s">
        <v>62</v>
      </c>
      <c r="C129" s="43"/>
      <c r="D129" s="53">
        <f>+'[3]PL'!J128</f>
        <v>13468000</v>
      </c>
      <c r="E129" s="53">
        <f t="shared" si="6"/>
        <v>12.16047639856335</v>
      </c>
      <c r="F129" s="53">
        <v>1924000</v>
      </c>
      <c r="G129" s="53">
        <v>12.984659589770736</v>
      </c>
      <c r="H129" s="53" t="e">
        <f>+J129-D129</f>
        <v>#REF!</v>
      </c>
      <c r="I129" s="53" t="e">
        <f t="shared" si="7"/>
        <v>#REF!</v>
      </c>
      <c r="J129" s="53" t="e">
        <f>+TB!C175</f>
        <v>#REF!</v>
      </c>
      <c r="K129" s="53" t="e">
        <f t="shared" si="8"/>
        <v>#REF!</v>
      </c>
      <c r="P129" s="27" t="e">
        <f t="shared" si="9"/>
        <v>#REF!</v>
      </c>
    </row>
    <row r="130" spans="1:16" ht="12.75">
      <c r="A130" s="44"/>
      <c r="B130" s="43" t="s">
        <v>63</v>
      </c>
      <c r="C130" s="43"/>
      <c r="D130" s="53">
        <f>+'[3]PL'!J129</f>
        <v>131005</v>
      </c>
      <c r="E130" s="53">
        <f t="shared" si="6"/>
        <v>0.11828654667313573</v>
      </c>
      <c r="F130" s="53">
        <v>8834</v>
      </c>
      <c r="G130" s="53">
        <v>0.059618754062388084</v>
      </c>
      <c r="H130" s="53" t="e">
        <f>+J130-D130</f>
        <v>#REF!</v>
      </c>
      <c r="I130" s="53" t="e">
        <f t="shared" si="7"/>
        <v>#REF!</v>
      </c>
      <c r="J130" s="53" t="e">
        <f>+TB!C180</f>
        <v>#REF!</v>
      </c>
      <c r="K130" s="53" t="e">
        <f t="shared" si="8"/>
        <v>#REF!</v>
      </c>
      <c r="P130" s="27" t="e">
        <f t="shared" si="9"/>
        <v>#REF!</v>
      </c>
    </row>
    <row r="131" spans="1:16" ht="12.75">
      <c r="A131" s="44"/>
      <c r="B131" s="43"/>
      <c r="C131" s="43"/>
      <c r="D131" s="53"/>
      <c r="E131" s="53">
        <f t="shared" si="6"/>
        <v>0</v>
      </c>
      <c r="F131" s="53"/>
      <c r="G131" s="53">
        <v>0</v>
      </c>
      <c r="H131" s="53"/>
      <c r="I131" s="53" t="e">
        <f t="shared" si="7"/>
        <v>#REF!</v>
      </c>
      <c r="J131" s="53"/>
      <c r="K131" s="53" t="e">
        <f t="shared" si="8"/>
        <v>#REF!</v>
      </c>
      <c r="P131" s="27">
        <f t="shared" si="9"/>
        <v>0</v>
      </c>
    </row>
    <row r="132" spans="1:16" ht="12.75">
      <c r="A132" s="49"/>
      <c r="B132" s="896" t="s">
        <v>143</v>
      </c>
      <c r="C132" s="50"/>
      <c r="D132" s="55">
        <f>+D127-D129-D130</f>
        <v>11503124.789999984</v>
      </c>
      <c r="E132" s="53">
        <f t="shared" si="6"/>
        <v>10.386358592108985</v>
      </c>
      <c r="F132" s="55">
        <f>+F127-F129-F130</f>
        <v>2062506.5000000019</v>
      </c>
      <c r="G132" s="87">
        <v>14.459312667032826</v>
      </c>
      <c r="H132" s="55" t="e">
        <f>+H127-H129-H130</f>
        <v>#REF!</v>
      </c>
      <c r="I132" s="53" t="e">
        <f t="shared" si="7"/>
        <v>#REF!</v>
      </c>
      <c r="J132" s="55" t="e">
        <f>+J127-J129-J130</f>
        <v>#REF!</v>
      </c>
      <c r="K132" s="53" t="e">
        <f t="shared" si="8"/>
        <v>#REF!</v>
      </c>
      <c r="P132" s="54" t="e">
        <f>+P127-P129-P130</f>
        <v>#REF!</v>
      </c>
    </row>
    <row r="133" spans="1:16" ht="12.75">
      <c r="A133" s="49"/>
      <c r="B133" s="897"/>
      <c r="C133" s="51"/>
      <c r="D133" s="56"/>
      <c r="E133" s="53">
        <f t="shared" si="6"/>
        <v>0</v>
      </c>
      <c r="F133" s="56"/>
      <c r="G133" s="56">
        <v>0</v>
      </c>
      <c r="H133" s="56"/>
      <c r="I133" s="53" t="e">
        <f t="shared" si="7"/>
        <v>#REF!</v>
      </c>
      <c r="J133" s="56"/>
      <c r="K133" s="53" t="e">
        <f t="shared" si="8"/>
        <v>#REF!</v>
      </c>
      <c r="P133" s="27">
        <f t="shared" si="9"/>
        <v>0</v>
      </c>
    </row>
    <row r="134" spans="1:16" ht="12.75">
      <c r="A134" s="49"/>
      <c r="B134" s="43" t="s">
        <v>13</v>
      </c>
      <c r="C134" s="43"/>
      <c r="D134" s="53">
        <f>+'[3]PL'!J133</f>
        <v>6825000</v>
      </c>
      <c r="E134" s="53">
        <f t="shared" si="6"/>
        <v>6.16240358035305</v>
      </c>
      <c r="F134" s="53">
        <v>975000</v>
      </c>
      <c r="G134" s="53">
        <v>6.580063981302738</v>
      </c>
      <c r="H134" s="53" t="e">
        <f>+J134-D134</f>
        <v>#REF!</v>
      </c>
      <c r="I134" s="53" t="e">
        <f t="shared" si="7"/>
        <v>#REF!</v>
      </c>
      <c r="J134" s="53" t="e">
        <f>+TB!C174</f>
        <v>#REF!</v>
      </c>
      <c r="K134" s="53" t="e">
        <f t="shared" si="8"/>
        <v>#REF!</v>
      </c>
      <c r="P134" s="27" t="e">
        <f t="shared" si="9"/>
        <v>#REF!</v>
      </c>
    </row>
    <row r="135" spans="1:16" ht="12.75">
      <c r="A135" s="49"/>
      <c r="B135" s="43"/>
      <c r="C135" s="43"/>
      <c r="D135" s="53"/>
      <c r="E135" s="53">
        <f t="shared" si="6"/>
        <v>0</v>
      </c>
      <c r="F135" s="53"/>
      <c r="G135" s="53">
        <v>0</v>
      </c>
      <c r="H135" s="53"/>
      <c r="I135" s="53" t="e">
        <f t="shared" si="7"/>
        <v>#REF!</v>
      </c>
      <c r="J135" s="53"/>
      <c r="K135" s="53" t="e">
        <f t="shared" si="8"/>
        <v>#REF!</v>
      </c>
      <c r="P135" s="27">
        <f t="shared" si="9"/>
        <v>0</v>
      </c>
    </row>
    <row r="136" spans="1:18" ht="12.75">
      <c r="A136" s="43"/>
      <c r="B136" s="44" t="s">
        <v>64</v>
      </c>
      <c r="C136" s="43"/>
      <c r="D136" s="54">
        <f>+D132-D134</f>
        <v>4678124.789999984</v>
      </c>
      <c r="E136" s="53">
        <f t="shared" si="6"/>
        <v>4.223955011755936</v>
      </c>
      <c r="F136" s="54">
        <f>+F132-F134</f>
        <v>1087506.5000000019</v>
      </c>
      <c r="G136" s="53">
        <v>7.879248685730089</v>
      </c>
      <c r="H136" s="54" t="e">
        <f>+H132-H134</f>
        <v>#REF!</v>
      </c>
      <c r="I136" s="53" t="e">
        <f t="shared" si="7"/>
        <v>#REF!</v>
      </c>
      <c r="J136" s="54" t="e">
        <f>+J132-J134</f>
        <v>#REF!</v>
      </c>
      <c r="K136" s="53" t="e">
        <f t="shared" si="8"/>
        <v>#REF!</v>
      </c>
      <c r="P136" s="54" t="e">
        <f>+P132-P134</f>
        <v>#REF!</v>
      </c>
      <c r="R136" s="40">
        <v>4135758</v>
      </c>
    </row>
    <row r="137" ht="12.75">
      <c r="R137" s="40" t="e">
        <f>+R136-P136</f>
        <v>#REF!</v>
      </c>
    </row>
    <row r="138" spans="1:16" ht="12.75">
      <c r="A138" s="41" t="s">
        <v>460</v>
      </c>
      <c r="B138" s="894" t="s">
        <v>461</v>
      </c>
      <c r="C138" s="895"/>
      <c r="D138" s="895"/>
      <c r="E138" s="895"/>
      <c r="F138" s="895"/>
      <c r="G138" s="895"/>
      <c r="H138" s="895"/>
      <c r="I138" s="895"/>
      <c r="J138" s="895"/>
      <c r="P138" s="80">
        <v>4635758.489999995</v>
      </c>
    </row>
    <row r="139" spans="2:10" ht="12.75">
      <c r="B139" s="895"/>
      <c r="C139" s="895"/>
      <c r="D139" s="895"/>
      <c r="E139" s="895"/>
      <c r="F139" s="895"/>
      <c r="G139" s="895"/>
      <c r="H139" s="895"/>
      <c r="I139" s="895"/>
      <c r="J139" s="895"/>
    </row>
    <row r="140" spans="2:16" ht="12.75">
      <c r="B140" s="52"/>
      <c r="C140" s="52"/>
      <c r="D140" s="52"/>
      <c r="E140" s="52"/>
      <c r="F140" s="52"/>
      <c r="G140" s="52"/>
      <c r="H140" s="52"/>
      <c r="I140" s="52"/>
      <c r="J140" s="52"/>
      <c r="P140" s="80" t="e">
        <f>+P138-J136</f>
        <v>#REF!</v>
      </c>
    </row>
    <row r="143" ht="12.75">
      <c r="P143" s="80">
        <v>8500675.51</v>
      </c>
    </row>
    <row r="144" ht="12.75">
      <c r="P144" s="80" t="e">
        <f>+P136-P143</f>
        <v>#REF!</v>
      </c>
    </row>
  </sheetData>
  <mergeCells count="11">
    <mergeCell ref="B138:J139"/>
    <mergeCell ref="B132:B133"/>
    <mergeCell ref="J7:K7"/>
    <mergeCell ref="D7:E7"/>
    <mergeCell ref="F7:G7"/>
    <mergeCell ref="A1:K1"/>
    <mergeCell ref="A5:K5"/>
    <mergeCell ref="A7:A8"/>
    <mergeCell ref="B7:B8"/>
    <mergeCell ref="C7:C8"/>
    <mergeCell ref="H7:I7"/>
  </mergeCells>
  <printOptions/>
  <pageMargins left="0.28" right="0.21" top="0.66" bottom="0.6" header="0.23" footer="0.6"/>
  <pageSetup fitToHeight="2" horizontalDpi="300" verticalDpi="300" orientation="portrait" paperSize="9" scale="84" r:id="rId3"/>
  <rowBreaks count="1" manualBreakCount="1">
    <brk id="7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60" zoomScaleNormal="60" workbookViewId="0" topLeftCell="A1">
      <selection activeCell="A1" sqref="A1:D1"/>
    </sheetView>
  </sheetViews>
  <sheetFormatPr defaultColWidth="9.140625" defaultRowHeight="12.75"/>
  <cols>
    <col min="1" max="1" width="23.7109375" style="0" bestFit="1" customWidth="1"/>
    <col min="2" max="2" width="16.7109375" style="0" customWidth="1"/>
    <col min="3" max="3" width="16.421875" style="0" customWidth="1"/>
  </cols>
  <sheetData>
    <row r="1" spans="1:4" ht="12.75">
      <c r="A1" s="764" t="s">
        <v>24</v>
      </c>
      <c r="B1" s="764"/>
      <c r="C1" s="764"/>
      <c r="D1" s="764"/>
    </row>
    <row r="2" spans="1:3" ht="12.75">
      <c r="A2" s="1" t="s">
        <v>120</v>
      </c>
      <c r="B2" s="9"/>
      <c r="C2" s="10"/>
    </row>
    <row r="3" spans="1:3" ht="12.75">
      <c r="A3" s="1" t="s">
        <v>121</v>
      </c>
      <c r="B3" s="9"/>
      <c r="C3" s="10"/>
    </row>
    <row r="4" spans="1:3" ht="12.75">
      <c r="A4" s="9"/>
      <c r="B4" s="9"/>
      <c r="C4" s="10"/>
    </row>
    <row r="5" spans="1:3" ht="12.75">
      <c r="A5" s="9"/>
      <c r="B5" s="9"/>
      <c r="C5" s="10"/>
    </row>
    <row r="6" spans="1:3" ht="12.75">
      <c r="A6" s="11">
        <v>1</v>
      </c>
      <c r="B6" s="12" t="s">
        <v>122</v>
      </c>
      <c r="C6" s="10"/>
    </row>
    <row r="8" spans="1:3" ht="12.75">
      <c r="A8" s="13" t="s">
        <v>123</v>
      </c>
      <c r="B8" s="13" t="s">
        <v>108</v>
      </c>
      <c r="C8" s="13" t="s">
        <v>72</v>
      </c>
    </row>
    <row r="9" spans="1:3" ht="12.75">
      <c r="A9" s="7"/>
      <c r="B9" s="7"/>
      <c r="C9" s="7"/>
    </row>
    <row r="10" spans="1:3" ht="12.75">
      <c r="A10" s="7" t="s">
        <v>124</v>
      </c>
      <c r="B10" s="14"/>
      <c r="C10" s="14"/>
    </row>
    <row r="11" spans="1:3" ht="12.75">
      <c r="A11" s="7" t="s">
        <v>115</v>
      </c>
      <c r="B11" s="7"/>
      <c r="C11" s="7"/>
    </row>
    <row r="12" spans="1:3" ht="12.75">
      <c r="A12" s="7"/>
      <c r="B12" s="7"/>
      <c r="C12" s="7"/>
    </row>
    <row r="13" spans="1:3" ht="12.75">
      <c r="A13" s="7" t="s">
        <v>125</v>
      </c>
      <c r="B13" s="7"/>
      <c r="C13" s="7"/>
    </row>
    <row r="14" spans="1:3" ht="12.75">
      <c r="A14" s="7"/>
      <c r="B14" s="7"/>
      <c r="C14" s="7"/>
    </row>
    <row r="15" spans="1:3" ht="12.75">
      <c r="A15" s="8" t="s">
        <v>126</v>
      </c>
      <c r="B15" s="7"/>
      <c r="C15" s="7"/>
    </row>
    <row r="16" spans="1:3" ht="12.75">
      <c r="A16" s="7"/>
      <c r="B16" s="7"/>
      <c r="C16" s="7"/>
    </row>
    <row r="17" spans="1:3" ht="12.75">
      <c r="A17" s="7" t="s">
        <v>127</v>
      </c>
      <c r="B17" s="7"/>
      <c r="C17" s="7"/>
    </row>
    <row r="18" spans="1:3" ht="12.75">
      <c r="A18" s="7" t="s">
        <v>128</v>
      </c>
      <c r="B18" s="7"/>
      <c r="C18" s="7"/>
    </row>
    <row r="19" spans="1:3" ht="12.75">
      <c r="A19" s="7" t="s">
        <v>129</v>
      </c>
      <c r="B19" s="7"/>
      <c r="C19" s="7"/>
    </row>
    <row r="20" spans="1:3" ht="12.75">
      <c r="A20" s="7" t="s">
        <v>130</v>
      </c>
      <c r="B20" s="7"/>
      <c r="C20" s="7"/>
    </row>
    <row r="21" spans="1:3" ht="12.75">
      <c r="A21" s="7"/>
      <c r="B21" s="7"/>
      <c r="C21" s="7"/>
    </row>
    <row r="22" spans="1:3" ht="12.75">
      <c r="A22" s="8" t="s">
        <v>131</v>
      </c>
      <c r="B22" s="7"/>
      <c r="C22" s="7"/>
    </row>
    <row r="23" spans="1:3" ht="12.75">
      <c r="A23" s="7"/>
      <c r="B23" s="7"/>
      <c r="C23" s="7"/>
    </row>
    <row r="24" spans="1:3" ht="12.75">
      <c r="A24" s="7" t="s">
        <v>132</v>
      </c>
      <c r="B24" s="7"/>
      <c r="C24" s="7"/>
    </row>
    <row r="25" spans="1:3" ht="12.75">
      <c r="A25" s="7" t="s">
        <v>81</v>
      </c>
      <c r="B25" s="7"/>
      <c r="C25" s="7"/>
    </row>
    <row r="26" spans="1:3" ht="12.75">
      <c r="A26" s="7"/>
      <c r="B26" s="7"/>
      <c r="C26" s="7"/>
    </row>
    <row r="27" spans="1:3" ht="12.75">
      <c r="A27" s="8" t="s">
        <v>133</v>
      </c>
      <c r="B27" s="7"/>
      <c r="C27" s="7"/>
    </row>
    <row r="28" spans="1:3" ht="12.75">
      <c r="A28" s="7"/>
      <c r="B28" s="7"/>
      <c r="C28" s="7"/>
    </row>
    <row r="29" spans="1:3" ht="12.75">
      <c r="A29" s="7" t="s">
        <v>134</v>
      </c>
      <c r="B29" s="7"/>
      <c r="C29" s="7"/>
    </row>
    <row r="30" spans="1:3" ht="12.75">
      <c r="A30" s="7" t="s">
        <v>135</v>
      </c>
      <c r="B30" s="7"/>
      <c r="C30" s="7"/>
    </row>
    <row r="31" spans="1:3" ht="12.75">
      <c r="A31" s="7"/>
      <c r="B31" s="7"/>
      <c r="C31" s="7"/>
    </row>
    <row r="32" spans="1:3" ht="12.75">
      <c r="A32" s="8" t="s">
        <v>136</v>
      </c>
      <c r="B32" s="7"/>
      <c r="C32" s="7"/>
    </row>
    <row r="33" spans="1:3" ht="12.75">
      <c r="A33" s="7"/>
      <c r="B33" s="7"/>
      <c r="C33" s="7"/>
    </row>
    <row r="34" spans="1:3" ht="12.75">
      <c r="A34" s="8" t="s">
        <v>137</v>
      </c>
      <c r="B34" s="7"/>
      <c r="C34" s="7"/>
    </row>
    <row r="35" spans="1:3" ht="12.75">
      <c r="A35" s="7"/>
      <c r="B35" s="7"/>
      <c r="C35" s="7"/>
    </row>
    <row r="36" spans="1:3" ht="12.75">
      <c r="A36" s="7" t="s">
        <v>138</v>
      </c>
      <c r="B36" s="7"/>
      <c r="C36" s="7"/>
    </row>
    <row r="37" spans="1:3" ht="12.75">
      <c r="A37" s="7" t="s">
        <v>139</v>
      </c>
      <c r="B37" s="7"/>
      <c r="C37" s="7"/>
    </row>
    <row r="38" spans="1:3" ht="12.75">
      <c r="A38" s="7" t="s">
        <v>38</v>
      </c>
      <c r="B38" s="7"/>
      <c r="C38" s="7"/>
    </row>
    <row r="39" spans="1:3" ht="12.75">
      <c r="A39" s="7"/>
      <c r="B39" s="7"/>
      <c r="C39" s="7"/>
    </row>
    <row r="40" spans="1:3" ht="12.75">
      <c r="A40" s="8" t="s">
        <v>88</v>
      </c>
      <c r="B40" s="7"/>
      <c r="C40" s="7"/>
    </row>
    <row r="41" spans="1:3" ht="12.75">
      <c r="A41" s="7"/>
      <c r="B41" s="7"/>
      <c r="C41" s="7"/>
    </row>
    <row r="42" spans="1:3" ht="12.75">
      <c r="A42" s="7" t="s">
        <v>36</v>
      </c>
      <c r="B42" s="7"/>
      <c r="C42" s="7"/>
    </row>
    <row r="43" spans="1:3" ht="12.75">
      <c r="A43" s="7" t="s">
        <v>140</v>
      </c>
      <c r="B43" s="7"/>
      <c r="C43" s="7"/>
    </row>
    <row r="44" spans="1:3" ht="12.75">
      <c r="A44" s="7" t="s">
        <v>141</v>
      </c>
      <c r="B44" s="7"/>
      <c r="C44" s="7"/>
    </row>
    <row r="45" spans="1:3" ht="12.75">
      <c r="A45" s="7" t="s">
        <v>142</v>
      </c>
      <c r="B45" s="7"/>
      <c r="C45" s="7"/>
    </row>
    <row r="46" spans="1:3" ht="12.75">
      <c r="A46" s="7" t="s">
        <v>38</v>
      </c>
      <c r="B46" s="7"/>
      <c r="C46" s="7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6"/>
  <sheetViews>
    <sheetView showGridLines="0" zoomScale="90" zoomScaleNormal="90" zoomScaleSheetLayoutView="100" workbookViewId="0" topLeftCell="A1">
      <selection activeCell="B3" sqref="B3:D3"/>
    </sheetView>
  </sheetViews>
  <sheetFormatPr defaultColWidth="9.140625" defaultRowHeight="12.75"/>
  <cols>
    <col min="1" max="1" width="3.7109375" style="92" bestFit="1" customWidth="1"/>
    <col min="2" max="2" width="36.7109375" style="93" bestFit="1" customWidth="1"/>
    <col min="3" max="3" width="17.00390625" style="93" bestFit="1" customWidth="1"/>
    <col min="4" max="4" width="15.421875" style="93" bestFit="1" customWidth="1"/>
    <col min="5" max="5" width="13.8515625" style="93" bestFit="1" customWidth="1"/>
    <col min="6" max="6" width="17.140625" style="93" customWidth="1"/>
    <col min="7" max="7" width="13.140625" style="93" bestFit="1" customWidth="1"/>
    <col min="8" max="16384" width="9.140625" style="93" customWidth="1"/>
  </cols>
  <sheetData>
    <row r="1" spans="2:4" ht="12.75" customHeight="1">
      <c r="B1" s="898" t="s">
        <v>174</v>
      </c>
      <c r="C1" s="898"/>
      <c r="D1" s="898"/>
    </row>
    <row r="2" spans="2:4" ht="12.75">
      <c r="B2" s="899" t="s">
        <v>175</v>
      </c>
      <c r="C2" s="899"/>
      <c r="D2" s="899"/>
    </row>
    <row r="3" spans="2:4" ht="12.75">
      <c r="B3" s="899" t="s">
        <v>562</v>
      </c>
      <c r="C3" s="899"/>
      <c r="D3" s="899"/>
    </row>
    <row r="4" spans="2:6" ht="12.75">
      <c r="B4" s="93" t="s">
        <v>177</v>
      </c>
      <c r="C4" s="93" t="s">
        <v>177</v>
      </c>
      <c r="E4" s="29" t="s">
        <v>529</v>
      </c>
      <c r="F4" s="93" t="e">
        <f>+C259</f>
        <v>#REF!</v>
      </c>
    </row>
    <row r="5" spans="2:4" ht="12.75">
      <c r="B5" s="30" t="s">
        <v>178</v>
      </c>
      <c r="C5" s="31" t="s">
        <v>179</v>
      </c>
      <c r="D5" s="31" t="s">
        <v>180</v>
      </c>
    </row>
    <row r="6" spans="2:4" ht="12.75">
      <c r="B6" s="94"/>
      <c r="C6" s="94"/>
      <c r="D6" s="94"/>
    </row>
    <row r="7" spans="1:5" ht="12.75">
      <c r="A7" s="92" t="s">
        <v>418</v>
      </c>
      <c r="B7" s="32" t="s">
        <v>181</v>
      </c>
      <c r="C7" s="33" t="e">
        <f>SUM(C8:C27)</f>
        <v>#REF!</v>
      </c>
      <c r="D7" s="33" t="e">
        <f>SUM(D8:D27)</f>
        <v>#REF!</v>
      </c>
      <c r="E7" s="26"/>
    </row>
    <row r="8" spans="1:4" ht="12.75">
      <c r="A8" s="92">
        <v>1</v>
      </c>
      <c r="B8" s="89" t="s">
        <v>182</v>
      </c>
      <c r="C8" s="95"/>
      <c r="D8" s="95" t="e">
        <f>+#REF!*0+347560</f>
        <v>#REF!</v>
      </c>
    </row>
    <row r="9" spans="1:4" ht="12.75">
      <c r="A9" s="102">
        <f>+A8+1</f>
        <v>2</v>
      </c>
      <c r="B9" s="98" t="s">
        <v>569</v>
      </c>
      <c r="C9" s="100" t="e">
        <f>+#REF!*0</f>
        <v>#REF!</v>
      </c>
      <c r="D9" s="100" t="e">
        <f>+#REF!*0+399033.97</f>
        <v>#REF!</v>
      </c>
    </row>
    <row r="10" spans="1:4" ht="12.75">
      <c r="A10" s="92">
        <f>+A9+1</f>
        <v>3</v>
      </c>
      <c r="B10" s="30" t="s">
        <v>184</v>
      </c>
      <c r="C10" s="34" t="e">
        <f>SUM(C11:C25)+648252.5</f>
        <v>#REF!</v>
      </c>
      <c r="D10" s="34" t="e">
        <f>SUM(D11:D25)+11232611.32</f>
        <v>#REF!</v>
      </c>
    </row>
    <row r="11" spans="1:4" ht="12.75" hidden="1">
      <c r="A11" s="85">
        <v>1</v>
      </c>
      <c r="B11" s="90" t="s">
        <v>185</v>
      </c>
      <c r="C11" s="96" t="e">
        <f>+#REF!*0</f>
        <v>#REF!</v>
      </c>
      <c r="D11" s="96" t="e">
        <f>+#REF!*0</f>
        <v>#REF!</v>
      </c>
    </row>
    <row r="12" spans="1:6" ht="12.75" hidden="1">
      <c r="A12" s="85">
        <f>+A11+1</f>
        <v>2</v>
      </c>
      <c r="B12" s="90" t="s">
        <v>186</v>
      </c>
      <c r="C12" s="96" t="e">
        <f>+#REF!*0</f>
        <v>#REF!</v>
      </c>
      <c r="D12" s="96" t="e">
        <f>+#REF!*0</f>
        <v>#REF!</v>
      </c>
      <c r="F12" s="93" t="s">
        <v>389</v>
      </c>
    </row>
    <row r="13" spans="1:4" ht="12.75" hidden="1">
      <c r="A13" s="85">
        <f aca="true" t="shared" si="0" ref="A13:A25">+A12+1</f>
        <v>3</v>
      </c>
      <c r="B13" s="90" t="s">
        <v>187</v>
      </c>
      <c r="C13" s="96" t="e">
        <f>+#REF!*0</f>
        <v>#REF!</v>
      </c>
      <c r="D13" s="96" t="e">
        <f>+#REF!*0</f>
        <v>#REF!</v>
      </c>
    </row>
    <row r="14" spans="1:4" ht="12.75" hidden="1">
      <c r="A14" s="85">
        <f t="shared" si="0"/>
        <v>4</v>
      </c>
      <c r="B14" s="90" t="s">
        <v>188</v>
      </c>
      <c r="C14" s="96" t="e">
        <f>+#REF!*0</f>
        <v>#REF!</v>
      </c>
      <c r="D14" s="96" t="e">
        <f>+#REF!*0</f>
        <v>#REF!</v>
      </c>
    </row>
    <row r="15" spans="1:4" ht="12.75" hidden="1">
      <c r="A15" s="85">
        <f t="shared" si="0"/>
        <v>5</v>
      </c>
      <c r="B15" s="90" t="s">
        <v>189</v>
      </c>
      <c r="C15" s="96" t="e">
        <f>+#REF!*0</f>
        <v>#REF!</v>
      </c>
      <c r="D15" s="96" t="e">
        <f>+#REF!*0</f>
        <v>#REF!</v>
      </c>
    </row>
    <row r="16" spans="1:4" ht="12.75" hidden="1">
      <c r="A16" s="85">
        <f t="shared" si="0"/>
        <v>6</v>
      </c>
      <c r="B16" s="90" t="s">
        <v>190</v>
      </c>
      <c r="C16" s="96" t="s">
        <v>177</v>
      </c>
      <c r="D16" s="96" t="e">
        <f>+#REF!*0</f>
        <v>#REF!</v>
      </c>
    </row>
    <row r="17" spans="1:4" ht="12.75" hidden="1">
      <c r="A17" s="85">
        <f t="shared" si="0"/>
        <v>7</v>
      </c>
      <c r="B17" s="90" t="s">
        <v>191</v>
      </c>
      <c r="C17" s="96" t="s">
        <v>177</v>
      </c>
      <c r="D17" s="96" t="e">
        <f>+#REF!*0</f>
        <v>#REF!</v>
      </c>
    </row>
    <row r="18" spans="1:4" ht="12.75" hidden="1">
      <c r="A18" s="85">
        <f t="shared" si="0"/>
        <v>8</v>
      </c>
      <c r="B18" s="90" t="s">
        <v>192</v>
      </c>
      <c r="C18" s="96" t="s">
        <v>177</v>
      </c>
      <c r="D18" s="96" t="e">
        <f>+#REF!*0</f>
        <v>#REF!</v>
      </c>
    </row>
    <row r="19" spans="1:4" ht="12.75" hidden="1">
      <c r="A19" s="85">
        <f t="shared" si="0"/>
        <v>9</v>
      </c>
      <c r="B19" s="90" t="s">
        <v>193</v>
      </c>
      <c r="C19" s="96" t="e">
        <f>+#REF!*0</f>
        <v>#REF!</v>
      </c>
      <c r="D19" s="96" t="e">
        <f>+#REF!*0</f>
        <v>#REF!</v>
      </c>
    </row>
    <row r="20" spans="1:4" ht="12.75" hidden="1">
      <c r="A20" s="85">
        <f t="shared" si="0"/>
        <v>10</v>
      </c>
      <c r="B20" s="90" t="s">
        <v>194</v>
      </c>
      <c r="C20" s="96" t="s">
        <v>177</v>
      </c>
      <c r="D20" s="96" t="e">
        <f>+#REF!*0</f>
        <v>#REF!</v>
      </c>
    </row>
    <row r="21" spans="1:4" ht="12.75" hidden="1">
      <c r="A21" s="85">
        <f t="shared" si="0"/>
        <v>11</v>
      </c>
      <c r="B21" s="90" t="s">
        <v>195</v>
      </c>
      <c r="C21" s="96" t="s">
        <v>177</v>
      </c>
      <c r="D21" s="96" t="e">
        <f>+#REF!*0</f>
        <v>#REF!</v>
      </c>
    </row>
    <row r="22" spans="1:4" ht="12.75" hidden="1">
      <c r="A22" s="85">
        <f t="shared" si="0"/>
        <v>12</v>
      </c>
      <c r="B22" s="90" t="s">
        <v>196</v>
      </c>
      <c r="C22" s="96" t="s">
        <v>177</v>
      </c>
      <c r="D22" s="96" t="e">
        <f>+#REF!*0</f>
        <v>#REF!</v>
      </c>
    </row>
    <row r="23" spans="1:4" ht="12.75" hidden="1">
      <c r="A23" s="85">
        <f t="shared" si="0"/>
        <v>13</v>
      </c>
      <c r="B23" s="90" t="s">
        <v>197</v>
      </c>
      <c r="C23" s="96" t="s">
        <v>177</v>
      </c>
      <c r="D23" s="96" t="s">
        <v>563</v>
      </c>
    </row>
    <row r="24" spans="1:4" ht="12.75" hidden="1">
      <c r="A24" s="85">
        <f t="shared" si="0"/>
        <v>14</v>
      </c>
      <c r="B24" s="90" t="s">
        <v>514</v>
      </c>
      <c r="C24" s="96"/>
      <c r="D24" s="96" t="e">
        <f>+#REF!*0</f>
        <v>#REF!</v>
      </c>
    </row>
    <row r="25" spans="1:4" ht="12.75" hidden="1">
      <c r="A25" s="85">
        <f t="shared" si="0"/>
        <v>15</v>
      </c>
      <c r="B25" s="90" t="s">
        <v>198</v>
      </c>
      <c r="C25" s="96" t="s">
        <v>177</v>
      </c>
      <c r="D25" s="96" t="e">
        <f>+#REF!*0</f>
        <v>#REF!</v>
      </c>
    </row>
    <row r="26" spans="1:4" ht="12.75">
      <c r="A26" s="92">
        <f>+A10+1</f>
        <v>4</v>
      </c>
      <c r="B26" s="89" t="s">
        <v>199</v>
      </c>
      <c r="C26" s="95" t="s">
        <v>177</v>
      </c>
      <c r="D26" s="95" t="e">
        <f>+#REF!*0+11365188+1427625</f>
        <v>#REF!</v>
      </c>
    </row>
    <row r="27" spans="1:7" ht="12.75">
      <c r="A27" s="92">
        <f>+A26+1</f>
        <v>5</v>
      </c>
      <c r="B27" s="89" t="s">
        <v>200</v>
      </c>
      <c r="C27" s="95" t="s">
        <v>177</v>
      </c>
      <c r="D27" s="95" t="e">
        <f>(#REF!+1050000+20000+1500000)*0+6915589+66120-25000+28168-27000</f>
        <v>#REF!</v>
      </c>
      <c r="F27" s="93">
        <v>27000</v>
      </c>
      <c r="G27" s="93" t="s">
        <v>573</v>
      </c>
    </row>
    <row r="28" spans="1:5" ht="12.75">
      <c r="A28" s="92" t="s">
        <v>424</v>
      </c>
      <c r="B28" s="32" t="s">
        <v>82</v>
      </c>
      <c r="C28" s="33" t="e">
        <f>SUM(C29:C41)+99354296.99</f>
        <v>#REF!</v>
      </c>
      <c r="D28" s="33"/>
      <c r="E28" s="26"/>
    </row>
    <row r="29" spans="1:4" ht="12.75" hidden="1">
      <c r="A29" s="92">
        <v>1</v>
      </c>
      <c r="B29" s="89" t="s">
        <v>201</v>
      </c>
      <c r="C29" s="95" t="e">
        <f>+#REF!*0</f>
        <v>#REF!</v>
      </c>
      <c r="D29" s="95" t="s">
        <v>177</v>
      </c>
    </row>
    <row r="30" spans="1:4" ht="12.75" hidden="1">
      <c r="A30" s="92">
        <f>+A29+1</f>
        <v>2</v>
      </c>
      <c r="B30" s="89" t="s">
        <v>202</v>
      </c>
      <c r="C30" s="95" t="e">
        <f>+#REF!*0</f>
        <v>#REF!</v>
      </c>
      <c r="D30" s="95" t="s">
        <v>177</v>
      </c>
    </row>
    <row r="31" spans="1:4" ht="12.75" hidden="1">
      <c r="A31" s="92">
        <f aca="true" t="shared" si="1" ref="A31:A41">+A30+1</f>
        <v>3</v>
      </c>
      <c r="B31" s="89" t="s">
        <v>47</v>
      </c>
      <c r="C31" s="95" t="e">
        <f>+#REF!*0</f>
        <v>#REF!</v>
      </c>
      <c r="D31" s="95" t="s">
        <v>177</v>
      </c>
    </row>
    <row r="32" spans="1:4" ht="12.75" hidden="1">
      <c r="A32" s="92">
        <f t="shared" si="1"/>
        <v>4</v>
      </c>
      <c r="B32" s="89" t="s">
        <v>203</v>
      </c>
      <c r="C32" s="95" t="e">
        <f>+#REF!*0</f>
        <v>#REF!</v>
      </c>
      <c r="D32" s="95" t="s">
        <v>177</v>
      </c>
    </row>
    <row r="33" spans="1:4" ht="12.75" hidden="1">
      <c r="A33" s="92">
        <f t="shared" si="1"/>
        <v>5</v>
      </c>
      <c r="B33" s="89" t="s">
        <v>204</v>
      </c>
      <c r="C33" s="95" t="e">
        <f>+#REF!*0</f>
        <v>#REF!</v>
      </c>
      <c r="D33" s="95" t="s">
        <v>177</v>
      </c>
    </row>
    <row r="34" spans="1:4" ht="12.75" hidden="1">
      <c r="A34" s="92">
        <f t="shared" si="1"/>
        <v>6</v>
      </c>
      <c r="B34" s="89" t="s">
        <v>205</v>
      </c>
      <c r="C34" s="95" t="e">
        <f>+#REF!*0</f>
        <v>#REF!</v>
      </c>
      <c r="D34" s="95" t="s">
        <v>177</v>
      </c>
    </row>
    <row r="35" spans="1:4" ht="12.75" hidden="1">
      <c r="A35" s="92">
        <f t="shared" si="1"/>
        <v>7</v>
      </c>
      <c r="B35" s="89" t="s">
        <v>206</v>
      </c>
      <c r="C35" s="95" t="e">
        <f>+#REF!*0</f>
        <v>#REF!</v>
      </c>
      <c r="D35" s="95" t="s">
        <v>177</v>
      </c>
    </row>
    <row r="36" spans="1:4" ht="12.75" hidden="1">
      <c r="A36" s="92">
        <f t="shared" si="1"/>
        <v>8</v>
      </c>
      <c r="B36" s="89" t="s">
        <v>207</v>
      </c>
      <c r="C36" s="95" t="e">
        <f>+#REF!*0</f>
        <v>#REF!</v>
      </c>
      <c r="D36" s="95" t="s">
        <v>177</v>
      </c>
    </row>
    <row r="37" spans="1:4" ht="12.75" hidden="1">
      <c r="A37" s="92">
        <f t="shared" si="1"/>
        <v>9</v>
      </c>
      <c r="B37" s="89" t="s">
        <v>208</v>
      </c>
      <c r="C37" s="95" t="e">
        <f>+#REF!*0</f>
        <v>#REF!</v>
      </c>
      <c r="D37" s="95" t="s">
        <v>177</v>
      </c>
    </row>
    <row r="38" spans="1:4" ht="12.75" hidden="1">
      <c r="A38" s="92">
        <f t="shared" si="1"/>
        <v>10</v>
      </c>
      <c r="B38" s="89" t="s">
        <v>209</v>
      </c>
      <c r="C38" s="95" t="e">
        <f>+#REF!*0</f>
        <v>#REF!</v>
      </c>
      <c r="D38" s="95" t="s">
        <v>177</v>
      </c>
    </row>
    <row r="39" spans="1:4" ht="12.75" hidden="1">
      <c r="A39" s="92">
        <f t="shared" si="1"/>
        <v>11</v>
      </c>
      <c r="B39" s="89" t="s">
        <v>210</v>
      </c>
      <c r="C39" s="95" t="e">
        <f>+#REF!*0</f>
        <v>#REF!</v>
      </c>
      <c r="D39" s="95" t="s">
        <v>177</v>
      </c>
    </row>
    <row r="40" spans="1:4" ht="12.75" hidden="1">
      <c r="A40" s="92">
        <f t="shared" si="1"/>
        <v>12</v>
      </c>
      <c r="B40" s="89" t="s">
        <v>211</v>
      </c>
      <c r="C40" s="95" t="e">
        <f>+#REF!*0</f>
        <v>#REF!</v>
      </c>
      <c r="D40" s="95"/>
    </row>
    <row r="41" spans="1:4" ht="12.75" hidden="1">
      <c r="A41" s="92">
        <f t="shared" si="1"/>
        <v>13</v>
      </c>
      <c r="B41" s="89" t="s">
        <v>491</v>
      </c>
      <c r="C41" s="95" t="e">
        <f>+#REF!*0</f>
        <v>#REF!</v>
      </c>
      <c r="D41" s="95" t="s">
        <v>177</v>
      </c>
    </row>
    <row r="42" spans="1:7" ht="12.75">
      <c r="A42" s="92" t="s">
        <v>429</v>
      </c>
      <c r="B42" s="32" t="s">
        <v>212</v>
      </c>
      <c r="C42" s="33" t="e">
        <f>(SUM(C45:C78)-C49-C43)*0+C43+C49+C76</f>
        <v>#REF!</v>
      </c>
      <c r="D42" s="33" t="e">
        <f>(SUM(D45:D78)-D49-D43)*0+D43+D49+D76</f>
        <v>#REF!</v>
      </c>
      <c r="E42" s="26"/>
      <c r="F42" s="26"/>
      <c r="G42" s="26"/>
    </row>
    <row r="43" spans="1:7" ht="12.75">
      <c r="A43" s="92">
        <v>1</v>
      </c>
      <c r="B43" s="89" t="s">
        <v>217</v>
      </c>
      <c r="C43" s="95" t="e">
        <f>SUM(C44:C48)+1286267</f>
        <v>#REF!</v>
      </c>
      <c r="D43" s="95" t="e">
        <f>SUM(D44:D48)+15035</f>
        <v>#REF!</v>
      </c>
      <c r="E43" s="26"/>
      <c r="F43" s="26"/>
      <c r="G43" s="26"/>
    </row>
    <row r="44" spans="1:4" ht="12.75">
      <c r="A44" s="92">
        <v>1</v>
      </c>
      <c r="B44" s="89" t="s">
        <v>213</v>
      </c>
      <c r="C44" s="95" t="e">
        <f>+#REF!*0</f>
        <v>#REF!</v>
      </c>
      <c r="D44" s="95" t="s">
        <v>177</v>
      </c>
    </row>
    <row r="45" spans="1:4" ht="12.75">
      <c r="A45" s="92">
        <f>1+A44</f>
        <v>2</v>
      </c>
      <c r="B45" s="89" t="s">
        <v>214</v>
      </c>
      <c r="C45" s="95" t="e">
        <f>+#REF!*0</f>
        <v>#REF!</v>
      </c>
      <c r="D45" s="95" t="e">
        <f>+#REF!*0</f>
        <v>#REF!</v>
      </c>
    </row>
    <row r="46" spans="1:4" ht="12.75">
      <c r="A46" s="92">
        <f>1+A45</f>
        <v>3</v>
      </c>
      <c r="B46" s="89" t="s">
        <v>215</v>
      </c>
      <c r="C46" s="95" t="e">
        <f>+#REF!*0</f>
        <v>#REF!</v>
      </c>
      <c r="D46" s="95" t="s">
        <v>177</v>
      </c>
    </row>
    <row r="47" spans="1:4" ht="12.75">
      <c r="A47" s="92">
        <f>1+A46</f>
        <v>4</v>
      </c>
      <c r="B47" s="89" t="s">
        <v>216</v>
      </c>
      <c r="C47" s="95" t="e">
        <f>+#REF!*0</f>
        <v>#REF!</v>
      </c>
      <c r="D47" s="95" t="s">
        <v>177</v>
      </c>
    </row>
    <row r="48" spans="1:4" ht="12.75">
      <c r="A48" s="92">
        <f>1+A47</f>
        <v>5</v>
      </c>
      <c r="B48" s="89" t="s">
        <v>217</v>
      </c>
      <c r="C48" s="95" t="e">
        <f>+#REF!*0</f>
        <v>#REF!</v>
      </c>
      <c r="D48" s="95" t="e">
        <f>+#REF!*0</f>
        <v>#REF!</v>
      </c>
    </row>
    <row r="49" spans="1:4" ht="12.75">
      <c r="A49" s="92">
        <v>2</v>
      </c>
      <c r="B49" s="30" t="s">
        <v>86</v>
      </c>
      <c r="C49" s="34" t="e">
        <f>SUM(C50:C75)+40174048.07</f>
        <v>#REF!</v>
      </c>
      <c r="D49" s="34" t="e">
        <f>SUM(D50:D75)+628667.92</f>
        <v>#REF!</v>
      </c>
    </row>
    <row r="50" spans="1:4" ht="12.75" hidden="1">
      <c r="A50" s="85">
        <v>1</v>
      </c>
      <c r="B50" s="90" t="s">
        <v>530</v>
      </c>
      <c r="C50" s="96" t="e">
        <f>+#REF!*0</f>
        <v>#REF!</v>
      </c>
      <c r="D50" s="96" t="e">
        <f>+#REF!*0</f>
        <v>#REF!</v>
      </c>
    </row>
    <row r="51" spans="1:4" ht="12.75" hidden="1">
      <c r="A51" s="85">
        <f>+A50+1</f>
        <v>2</v>
      </c>
      <c r="B51" s="90" t="s">
        <v>218</v>
      </c>
      <c r="C51" s="96" t="e">
        <f>+#REF!*0</f>
        <v>#REF!</v>
      </c>
      <c r="D51" s="96" t="e">
        <f>+#REF!*0</f>
        <v>#REF!</v>
      </c>
    </row>
    <row r="52" spans="1:4" ht="12.75" hidden="1">
      <c r="A52" s="85">
        <f>+A51+1</f>
        <v>3</v>
      </c>
      <c r="B52" s="90" t="s">
        <v>219</v>
      </c>
      <c r="C52" s="96" t="e">
        <f>+#REF!*0</f>
        <v>#REF!</v>
      </c>
      <c r="D52" s="96" t="e">
        <f>+#REF!*0</f>
        <v>#REF!</v>
      </c>
    </row>
    <row r="53" spans="1:4" ht="12.75" hidden="1">
      <c r="A53" s="85">
        <f>+A52+1</f>
        <v>4</v>
      </c>
      <c r="B53" s="90" t="s">
        <v>548</v>
      </c>
      <c r="C53" s="96" t="e">
        <f>+#REF!*0</f>
        <v>#REF!</v>
      </c>
      <c r="D53" s="96"/>
    </row>
    <row r="54" spans="1:4" ht="12.75" hidden="1">
      <c r="A54" s="85">
        <f>+A53+1</f>
        <v>5</v>
      </c>
      <c r="B54" s="90" t="s">
        <v>220</v>
      </c>
      <c r="C54" s="96" t="e">
        <f>+#REF!*0</f>
        <v>#REF!</v>
      </c>
      <c r="D54" s="96" t="e">
        <f>+#REF!*0</f>
        <v>#REF!</v>
      </c>
    </row>
    <row r="55" spans="1:4" ht="12.75" hidden="1">
      <c r="A55" s="85">
        <f aca="true" t="shared" si="2" ref="A55:A75">+A54+1</f>
        <v>6</v>
      </c>
      <c r="B55" s="90" t="s">
        <v>221</v>
      </c>
      <c r="C55" s="96" t="e">
        <f>+#REF!*0</f>
        <v>#REF!</v>
      </c>
      <c r="D55" s="96" t="e">
        <f>+#REF!*0</f>
        <v>#REF!</v>
      </c>
    </row>
    <row r="56" spans="1:4" ht="12.75" hidden="1">
      <c r="A56" s="85">
        <f t="shared" si="2"/>
        <v>7</v>
      </c>
      <c r="B56" s="90" t="s">
        <v>222</v>
      </c>
      <c r="C56" s="96" t="e">
        <f>+#REF!*0</f>
        <v>#REF!</v>
      </c>
      <c r="D56" s="96" t="e">
        <f>+#REF!*0</f>
        <v>#REF!</v>
      </c>
    </row>
    <row r="57" spans="1:4" ht="12.75" hidden="1">
      <c r="A57" s="85">
        <f t="shared" si="2"/>
        <v>8</v>
      </c>
      <c r="B57" s="90" t="s">
        <v>223</v>
      </c>
      <c r="C57" s="96" t="e">
        <f>+#REF!*0</f>
        <v>#REF!</v>
      </c>
      <c r="D57" s="96" t="e">
        <f>+#REF!*0</f>
        <v>#REF!</v>
      </c>
    </row>
    <row r="58" spans="1:4" ht="12.75" hidden="1">
      <c r="A58" s="85">
        <f t="shared" si="2"/>
        <v>9</v>
      </c>
      <c r="B58" s="90" t="s">
        <v>224</v>
      </c>
      <c r="C58" s="96" t="e">
        <f>+#REF!*0</f>
        <v>#REF!</v>
      </c>
      <c r="D58" s="96" t="e">
        <f>+#REF!*0</f>
        <v>#REF!</v>
      </c>
    </row>
    <row r="59" spans="1:4" ht="12.75" hidden="1">
      <c r="A59" s="85">
        <f t="shared" si="2"/>
        <v>10</v>
      </c>
      <c r="B59" s="90" t="s">
        <v>225</v>
      </c>
      <c r="C59" s="96" t="e">
        <f>+#REF!*0</f>
        <v>#REF!</v>
      </c>
      <c r="D59" s="96" t="s">
        <v>177</v>
      </c>
    </row>
    <row r="60" spans="1:4" ht="12.75" hidden="1">
      <c r="A60" s="85">
        <f t="shared" si="2"/>
        <v>11</v>
      </c>
      <c r="B60" s="90" t="s">
        <v>542</v>
      </c>
      <c r="C60" s="96" t="e">
        <f>+#REF!*0</f>
        <v>#REF!</v>
      </c>
      <c r="D60" s="96"/>
    </row>
    <row r="61" spans="1:4" ht="12.75" hidden="1">
      <c r="A61" s="85">
        <f t="shared" si="2"/>
        <v>12</v>
      </c>
      <c r="B61" s="90" t="s">
        <v>226</v>
      </c>
      <c r="C61" s="96" t="e">
        <f>+#REF!*0</f>
        <v>#REF!</v>
      </c>
      <c r="D61" s="96" t="e">
        <f>+#REF!*0</f>
        <v>#REF!</v>
      </c>
    </row>
    <row r="62" spans="1:4" ht="12.75" hidden="1">
      <c r="A62" s="85">
        <f t="shared" si="2"/>
        <v>13</v>
      </c>
      <c r="B62" s="90" t="s">
        <v>227</v>
      </c>
      <c r="C62" s="96" t="e">
        <f>+#REF!*0</f>
        <v>#REF!</v>
      </c>
      <c r="D62" s="96" t="s">
        <v>177</v>
      </c>
    </row>
    <row r="63" spans="1:4" ht="12.75" hidden="1">
      <c r="A63" s="85">
        <f t="shared" si="2"/>
        <v>14</v>
      </c>
      <c r="B63" s="90" t="s">
        <v>228</v>
      </c>
      <c r="C63" s="96" t="e">
        <f>+#REF!*0</f>
        <v>#REF!</v>
      </c>
      <c r="D63" s="96" t="e">
        <f>+#REF!*0</f>
        <v>#REF!</v>
      </c>
    </row>
    <row r="64" spans="1:8" ht="12.75" hidden="1">
      <c r="A64" s="85">
        <f t="shared" si="2"/>
        <v>15</v>
      </c>
      <c r="B64" s="90" t="s">
        <v>229</v>
      </c>
      <c r="C64" s="96" t="e">
        <f>+#REF!*0</f>
        <v>#REF!</v>
      </c>
      <c r="D64" s="96" t="s">
        <v>177</v>
      </c>
      <c r="G64" s="93">
        <v>26000</v>
      </c>
      <c r="H64" s="93" t="s">
        <v>536</v>
      </c>
    </row>
    <row r="65" spans="1:8" ht="12.75" hidden="1">
      <c r="A65" s="85">
        <f t="shared" si="2"/>
        <v>16</v>
      </c>
      <c r="B65" s="90" t="s">
        <v>230</v>
      </c>
      <c r="C65" s="96" t="e">
        <f>+#REF!*0</f>
        <v>#REF!</v>
      </c>
      <c r="D65" s="96" t="s">
        <v>177</v>
      </c>
      <c r="G65" s="93">
        <v>1000000</v>
      </c>
      <c r="H65" s="93" t="s">
        <v>537</v>
      </c>
    </row>
    <row r="66" spans="1:8" ht="12.75" hidden="1">
      <c r="A66" s="85">
        <f t="shared" si="2"/>
        <v>17</v>
      </c>
      <c r="B66" s="90" t="s">
        <v>231</v>
      </c>
      <c r="C66" s="96">
        <v>0</v>
      </c>
      <c r="D66" s="96" t="s">
        <v>177</v>
      </c>
      <c r="G66" s="93">
        <v>1000000</v>
      </c>
      <c r="H66" s="93" t="s">
        <v>538</v>
      </c>
    </row>
    <row r="67" spans="1:4" ht="12.75" hidden="1">
      <c r="A67" s="85">
        <f t="shared" si="2"/>
        <v>18</v>
      </c>
      <c r="B67" s="90" t="s">
        <v>232</v>
      </c>
      <c r="C67" s="96">
        <v>0</v>
      </c>
      <c r="D67" s="96" t="s">
        <v>177</v>
      </c>
    </row>
    <row r="68" spans="1:4" ht="12.75" hidden="1">
      <c r="A68" s="85">
        <f t="shared" si="2"/>
        <v>19</v>
      </c>
      <c r="B68" s="90" t="s">
        <v>233</v>
      </c>
      <c r="C68" s="96">
        <v>0</v>
      </c>
      <c r="D68" s="96" t="s">
        <v>177</v>
      </c>
    </row>
    <row r="69" spans="1:4" ht="12.75" hidden="1">
      <c r="A69" s="85">
        <f t="shared" si="2"/>
        <v>20</v>
      </c>
      <c r="B69" s="90" t="s">
        <v>234</v>
      </c>
      <c r="C69" s="96">
        <v>0</v>
      </c>
      <c r="D69" s="96" t="s">
        <v>177</v>
      </c>
    </row>
    <row r="70" spans="1:4" ht="12.75" hidden="1">
      <c r="A70" s="85">
        <f t="shared" si="2"/>
        <v>21</v>
      </c>
      <c r="B70" s="90" t="s">
        <v>492</v>
      </c>
      <c r="C70" s="96">
        <v>0</v>
      </c>
      <c r="D70" s="96"/>
    </row>
    <row r="71" spans="1:4" ht="12.75" hidden="1">
      <c r="A71" s="85">
        <f t="shared" si="2"/>
        <v>22</v>
      </c>
      <c r="B71" s="90" t="s">
        <v>235</v>
      </c>
      <c r="C71" s="96">
        <v>0</v>
      </c>
      <c r="D71" s="96" t="s">
        <v>177</v>
      </c>
    </row>
    <row r="72" spans="1:4" ht="12.75" hidden="1">
      <c r="A72" s="85">
        <f t="shared" si="2"/>
        <v>23</v>
      </c>
      <c r="B72" s="90" t="s">
        <v>236</v>
      </c>
      <c r="C72" s="96">
        <v>0</v>
      </c>
      <c r="D72" s="96" t="s">
        <v>177</v>
      </c>
    </row>
    <row r="73" spans="1:4" ht="12.75" hidden="1">
      <c r="A73" s="85">
        <f t="shared" si="2"/>
        <v>24</v>
      </c>
      <c r="B73" s="90" t="s">
        <v>531</v>
      </c>
      <c r="C73" s="96">
        <v>0</v>
      </c>
      <c r="D73" s="96"/>
    </row>
    <row r="74" spans="1:4" ht="12.75" hidden="1">
      <c r="A74" s="85">
        <f t="shared" si="2"/>
        <v>25</v>
      </c>
      <c r="B74" s="90" t="s">
        <v>237</v>
      </c>
      <c r="C74" s="96">
        <v>0</v>
      </c>
      <c r="D74" s="96" t="s">
        <v>177</v>
      </c>
    </row>
    <row r="75" spans="1:4" ht="12.75" hidden="1">
      <c r="A75" s="85">
        <f t="shared" si="2"/>
        <v>26</v>
      </c>
      <c r="B75" s="90" t="s">
        <v>238</v>
      </c>
      <c r="C75" s="96">
        <v>0</v>
      </c>
      <c r="D75" s="96" t="s">
        <v>177</v>
      </c>
    </row>
    <row r="76" spans="1:4" ht="12.75">
      <c r="A76" s="92">
        <f>+A49+1</f>
        <v>3</v>
      </c>
      <c r="B76" s="89" t="s">
        <v>239</v>
      </c>
      <c r="C76" s="95" t="e">
        <f>+#REF!*0+1097375</f>
        <v>#REF!</v>
      </c>
      <c r="D76" s="95">
        <v>0</v>
      </c>
    </row>
    <row r="77" spans="1:4" ht="12.75">
      <c r="A77" s="92">
        <f>+A76+1</f>
        <v>4</v>
      </c>
      <c r="B77" s="89" t="s">
        <v>532</v>
      </c>
      <c r="C77" s="95" t="e">
        <f>+#REF!*0</f>
        <v>#REF!</v>
      </c>
      <c r="D77" s="95"/>
    </row>
    <row r="78" spans="1:4" ht="12.75">
      <c r="A78" s="92">
        <f>+A77+1</f>
        <v>5</v>
      </c>
      <c r="B78" s="89" t="s">
        <v>240</v>
      </c>
      <c r="C78" s="95" t="e">
        <f>+#REF!*0</f>
        <v>#REF!</v>
      </c>
      <c r="D78" s="95" t="s">
        <v>177</v>
      </c>
    </row>
    <row r="79" spans="1:5" ht="12.75">
      <c r="A79" s="92" t="s">
        <v>431</v>
      </c>
      <c r="B79" s="32" t="s">
        <v>241</v>
      </c>
      <c r="C79" s="33" t="e">
        <f>SUM(C80:C98)+183668337.88</f>
        <v>#REF!</v>
      </c>
      <c r="D79" s="33" t="e">
        <f>SUM(D80:D98)+255749397.66</f>
        <v>#REF!</v>
      </c>
      <c r="E79" s="26"/>
    </row>
    <row r="80" spans="1:5" ht="12.75">
      <c r="A80" s="92">
        <v>1</v>
      </c>
      <c r="B80" s="89" t="s">
        <v>544</v>
      </c>
      <c r="C80" s="95" t="e">
        <f>+#REF!*0</f>
        <v>#REF!</v>
      </c>
      <c r="D80" s="34"/>
      <c r="E80" s="26"/>
    </row>
    <row r="81" spans="1:4" ht="12.75">
      <c r="A81" s="92">
        <f>+A80+1</f>
        <v>2</v>
      </c>
      <c r="B81" s="89" t="s">
        <v>242</v>
      </c>
      <c r="C81" s="95" t="e">
        <f>+#REF!*0</f>
        <v>#REF!</v>
      </c>
      <c r="D81" s="95" t="e">
        <f>+#REF!*0</f>
        <v>#REF!</v>
      </c>
    </row>
    <row r="82" spans="1:4" ht="12.75">
      <c r="A82" s="92">
        <f>+A81+1</f>
        <v>3</v>
      </c>
      <c r="B82" s="89" t="s">
        <v>243</v>
      </c>
      <c r="C82" s="95" t="e">
        <f>+#REF!*0</f>
        <v>#REF!</v>
      </c>
      <c r="D82" s="95" t="e">
        <f>+#REF!*0</f>
        <v>#REF!</v>
      </c>
    </row>
    <row r="83" spans="1:4" ht="12.75">
      <c r="A83" s="92">
        <f aca="true" t="shared" si="3" ref="A83:A98">+A82+1</f>
        <v>4</v>
      </c>
      <c r="B83" s="89" t="s">
        <v>244</v>
      </c>
      <c r="C83" s="95" t="e">
        <f>+#REF!*0</f>
        <v>#REF!</v>
      </c>
      <c r="D83" s="95" t="s">
        <v>177</v>
      </c>
    </row>
    <row r="84" spans="1:4" ht="12.75">
      <c r="A84" s="92">
        <f>+A83+1</f>
        <v>5</v>
      </c>
      <c r="B84" s="89" t="s">
        <v>509</v>
      </c>
      <c r="C84" s="95" t="e">
        <f>+#REF!*0</f>
        <v>#REF!</v>
      </c>
      <c r="D84" s="95" t="e">
        <f>+#REF!*0</f>
        <v>#REF!</v>
      </c>
    </row>
    <row r="85" spans="1:4" ht="12.75">
      <c r="A85" s="92">
        <f t="shared" si="3"/>
        <v>6</v>
      </c>
      <c r="B85" s="89" t="s">
        <v>245</v>
      </c>
      <c r="C85" s="95" t="s">
        <v>177</v>
      </c>
      <c r="D85" s="95" t="e">
        <f>+#REF!*0</f>
        <v>#REF!</v>
      </c>
    </row>
    <row r="86" spans="1:4" ht="12.75">
      <c r="A86" s="92">
        <f t="shared" si="3"/>
        <v>7</v>
      </c>
      <c r="B86" s="89" t="s">
        <v>246</v>
      </c>
      <c r="C86" s="95" t="e">
        <f>+#REF!*0</f>
        <v>#REF!</v>
      </c>
      <c r="D86" s="95" t="s">
        <v>177</v>
      </c>
    </row>
    <row r="87" spans="1:4" ht="12.75">
      <c r="A87" s="92">
        <f t="shared" si="3"/>
        <v>8</v>
      </c>
      <c r="B87" s="89" t="s">
        <v>247</v>
      </c>
      <c r="C87" s="95" t="e">
        <f>+#REF!*0</f>
        <v>#REF!</v>
      </c>
      <c r="D87" s="95" t="s">
        <v>177</v>
      </c>
    </row>
    <row r="88" spans="1:4" ht="12.75">
      <c r="A88" s="92">
        <f t="shared" si="3"/>
        <v>9</v>
      </c>
      <c r="B88" s="89" t="s">
        <v>248</v>
      </c>
      <c r="C88" s="95" t="e">
        <f>+#REF!*0</f>
        <v>#REF!</v>
      </c>
      <c r="D88" s="95" t="s">
        <v>177</v>
      </c>
    </row>
    <row r="89" spans="1:4" ht="12.75">
      <c r="A89" s="92">
        <f t="shared" si="3"/>
        <v>10</v>
      </c>
      <c r="B89" s="89" t="s">
        <v>249</v>
      </c>
      <c r="C89" s="95" t="e">
        <f>+#REF!*0</f>
        <v>#REF!</v>
      </c>
      <c r="D89" s="95" t="s">
        <v>177</v>
      </c>
    </row>
    <row r="90" spans="1:4" ht="12.75">
      <c r="A90" s="92">
        <f t="shared" si="3"/>
        <v>11</v>
      </c>
      <c r="B90" s="89" t="s">
        <v>250</v>
      </c>
      <c r="C90" s="95" t="e">
        <f>+#REF!*0</f>
        <v>#REF!</v>
      </c>
      <c r="D90" s="95" t="s">
        <v>177</v>
      </c>
    </row>
    <row r="91" spans="1:4" ht="12.75">
      <c r="A91" s="92">
        <f t="shared" si="3"/>
        <v>12</v>
      </c>
      <c r="B91" s="89" t="s">
        <v>251</v>
      </c>
      <c r="C91" s="95" t="s">
        <v>177</v>
      </c>
      <c r="D91" s="95" t="e">
        <f>+#REF!*0</f>
        <v>#REF!</v>
      </c>
    </row>
    <row r="92" spans="1:4" ht="12.75">
      <c r="A92" s="92">
        <f t="shared" si="3"/>
        <v>13</v>
      </c>
      <c r="B92" s="89" t="s">
        <v>252</v>
      </c>
      <c r="C92" s="95" t="e">
        <f>+#REF!*0</f>
        <v>#REF!</v>
      </c>
      <c r="D92" s="95" t="s">
        <v>177</v>
      </c>
    </row>
    <row r="93" spans="1:4" ht="12.75">
      <c r="A93" s="92">
        <f t="shared" si="3"/>
        <v>14</v>
      </c>
      <c r="B93" s="89" t="s">
        <v>253</v>
      </c>
      <c r="C93" s="95" t="s">
        <v>177</v>
      </c>
      <c r="D93" s="95" t="e">
        <f>+#REF!*0</f>
        <v>#REF!</v>
      </c>
    </row>
    <row r="94" spans="1:4" ht="12.75">
      <c r="A94" s="92">
        <f t="shared" si="3"/>
        <v>15</v>
      </c>
      <c r="B94" s="89" t="s">
        <v>254</v>
      </c>
      <c r="C94" s="95" t="e">
        <f>+#REF!*0</f>
        <v>#REF!</v>
      </c>
      <c r="D94" s="95" t="s">
        <v>177</v>
      </c>
    </row>
    <row r="95" spans="1:4" ht="12.75">
      <c r="A95" s="92">
        <f t="shared" si="3"/>
        <v>16</v>
      </c>
      <c r="B95" s="89" t="s">
        <v>255</v>
      </c>
      <c r="C95" s="95" t="s">
        <v>177</v>
      </c>
      <c r="D95" s="95" t="e">
        <f>+#REF!*0</f>
        <v>#REF!</v>
      </c>
    </row>
    <row r="96" spans="1:4" ht="12.75">
      <c r="A96" s="92">
        <f t="shared" si="3"/>
        <v>17</v>
      </c>
      <c r="B96" s="89" t="s">
        <v>256</v>
      </c>
      <c r="C96" s="95" t="s">
        <v>177</v>
      </c>
      <c r="D96" s="95" t="e">
        <f>+#REF!*0</f>
        <v>#REF!</v>
      </c>
    </row>
    <row r="97" spans="1:4" ht="12.75">
      <c r="A97" s="92">
        <f t="shared" si="3"/>
        <v>18</v>
      </c>
      <c r="B97" s="89" t="s">
        <v>257</v>
      </c>
      <c r="C97" s="95" t="e">
        <f>+#REF!*0</f>
        <v>#REF!</v>
      </c>
      <c r="D97" s="95" t="s">
        <v>177</v>
      </c>
    </row>
    <row r="98" spans="1:4" ht="12.75">
      <c r="A98" s="92">
        <f t="shared" si="3"/>
        <v>19</v>
      </c>
      <c r="B98" s="89" t="s">
        <v>258</v>
      </c>
      <c r="C98" s="95" t="e">
        <f>+#REF!*0</f>
        <v>#REF!</v>
      </c>
      <c r="D98" s="95" t="s">
        <v>177</v>
      </c>
    </row>
    <row r="99" spans="1:4" ht="12.75">
      <c r="A99" s="92" t="s">
        <v>432</v>
      </c>
      <c r="B99" s="32" t="s">
        <v>259</v>
      </c>
      <c r="C99" s="33" t="e">
        <f>SUM(C100:C112)</f>
        <v>#REF!</v>
      </c>
      <c r="D99" s="33" t="e">
        <f>SUM(D100:D112)</f>
        <v>#REF!</v>
      </c>
    </row>
    <row r="100" spans="1:6" ht="12.75">
      <c r="A100" s="92">
        <v>1</v>
      </c>
      <c r="B100" s="89" t="s">
        <v>260</v>
      </c>
      <c r="C100" s="95" t="s">
        <v>177</v>
      </c>
      <c r="D100" s="95" t="e">
        <f>+#REF!*0+13437334</f>
        <v>#REF!</v>
      </c>
      <c r="F100" s="93" t="s">
        <v>390</v>
      </c>
    </row>
    <row r="101" spans="1:6" ht="12.75">
      <c r="A101" s="92">
        <f>+A100+1</f>
        <v>2</v>
      </c>
      <c r="B101" s="89" t="s">
        <v>261</v>
      </c>
      <c r="C101" s="95" t="s">
        <v>177</v>
      </c>
      <c r="D101" s="95" t="e">
        <f>+#REF!*0+53310842.1</f>
        <v>#REF!</v>
      </c>
      <c r="F101" s="93" t="s">
        <v>390</v>
      </c>
    </row>
    <row r="102" spans="1:6" ht="12.75">
      <c r="A102" s="92">
        <f aca="true" t="shared" si="4" ref="A102:A110">+A101+1</f>
        <v>3</v>
      </c>
      <c r="B102" s="89" t="s">
        <v>262</v>
      </c>
      <c r="C102" s="95" t="s">
        <v>177</v>
      </c>
      <c r="D102" s="95" t="e">
        <f>+#REF!*0+98953</f>
        <v>#REF!</v>
      </c>
      <c r="F102" s="93" t="s">
        <v>402</v>
      </c>
    </row>
    <row r="103" spans="1:6" ht="12.75">
      <c r="A103" s="92">
        <f t="shared" si="4"/>
        <v>4</v>
      </c>
      <c r="B103" s="89" t="s">
        <v>263</v>
      </c>
      <c r="C103" s="95" t="s">
        <v>177</v>
      </c>
      <c r="D103" s="95" t="e">
        <f>+#REF!*0+143117</f>
        <v>#REF!</v>
      </c>
      <c r="F103" s="93" t="s">
        <v>393</v>
      </c>
    </row>
    <row r="104" spans="1:6" ht="12.75">
      <c r="A104" s="92">
        <f t="shared" si="4"/>
        <v>5</v>
      </c>
      <c r="B104" s="89" t="s">
        <v>264</v>
      </c>
      <c r="C104" s="95" t="s">
        <v>177</v>
      </c>
      <c r="D104" s="95" t="e">
        <f>+#REF!*0+84680</f>
        <v>#REF!</v>
      </c>
      <c r="F104" s="93" t="s">
        <v>393</v>
      </c>
    </row>
    <row r="105" spans="1:6" ht="12.75">
      <c r="A105" s="92">
        <f t="shared" si="4"/>
        <v>6</v>
      </c>
      <c r="B105" s="89" t="s">
        <v>265</v>
      </c>
      <c r="C105" s="95" t="s">
        <v>177</v>
      </c>
      <c r="D105" s="95" t="e">
        <f>+#REF!*0+8232121</f>
        <v>#REF!</v>
      </c>
      <c r="F105" s="93" t="s">
        <v>390</v>
      </c>
    </row>
    <row r="106" spans="1:6" ht="12.75">
      <c r="A106" s="92">
        <f t="shared" si="4"/>
        <v>7</v>
      </c>
      <c r="B106" s="89" t="s">
        <v>266</v>
      </c>
      <c r="C106" s="95" t="s">
        <v>177</v>
      </c>
      <c r="D106" s="95" t="e">
        <f>+#REF!*0+1627611</f>
        <v>#REF!</v>
      </c>
      <c r="F106" s="93" t="s">
        <v>390</v>
      </c>
    </row>
    <row r="107" spans="1:6" ht="12.75">
      <c r="A107" s="92">
        <f t="shared" si="4"/>
        <v>8</v>
      </c>
      <c r="B107" s="89" t="s">
        <v>267</v>
      </c>
      <c r="C107" s="95" t="s">
        <v>177</v>
      </c>
      <c r="D107" s="95" t="e">
        <f>+#REF!*0+7349732.03</f>
        <v>#REF!</v>
      </c>
      <c r="F107" s="93" t="s">
        <v>391</v>
      </c>
    </row>
    <row r="108" spans="1:6" ht="12.75">
      <c r="A108" s="92">
        <f t="shared" si="4"/>
        <v>9</v>
      </c>
      <c r="B108" s="89" t="s">
        <v>268</v>
      </c>
      <c r="C108" s="95" t="s">
        <v>177</v>
      </c>
      <c r="D108" s="95" t="e">
        <f>+#REF!*0+1816186</f>
        <v>#REF!</v>
      </c>
      <c r="F108" s="93" t="s">
        <v>391</v>
      </c>
    </row>
    <row r="109" spans="1:6" ht="12.75">
      <c r="A109" s="92">
        <f t="shared" si="4"/>
        <v>10</v>
      </c>
      <c r="B109" s="89" t="s">
        <v>269</v>
      </c>
      <c r="C109" s="95" t="s">
        <v>177</v>
      </c>
      <c r="D109" s="95" t="e">
        <f>+#REF!*0+280774</f>
        <v>#REF!</v>
      </c>
      <c r="F109" s="93" t="s">
        <v>393</v>
      </c>
    </row>
    <row r="110" spans="1:6" ht="12.75">
      <c r="A110" s="92">
        <f t="shared" si="4"/>
        <v>11</v>
      </c>
      <c r="B110" s="89" t="s">
        <v>270</v>
      </c>
      <c r="C110" s="95" t="s">
        <v>177</v>
      </c>
      <c r="D110" s="95" t="e">
        <f>+#REF!*0+79997</f>
        <v>#REF!</v>
      </c>
      <c r="F110" s="93" t="s">
        <v>393</v>
      </c>
    </row>
    <row r="111" spans="1:6" ht="12.75">
      <c r="A111" s="92">
        <f>+A110+1</f>
        <v>12</v>
      </c>
      <c r="B111" s="89" t="s">
        <v>60</v>
      </c>
      <c r="C111" s="95" t="e">
        <f>+#REF!*0+1005571</f>
        <v>#REF!</v>
      </c>
      <c r="D111" s="95" t="s">
        <v>177</v>
      </c>
      <c r="F111" s="93" t="s">
        <v>390</v>
      </c>
    </row>
    <row r="112" spans="1:6" ht="12.75">
      <c r="A112" s="92">
        <f>+A111+1</f>
        <v>13</v>
      </c>
      <c r="B112" s="89" t="e">
        <f>+#REF!</f>
        <v>#REF!</v>
      </c>
      <c r="C112" s="95"/>
      <c r="D112" s="95" t="e">
        <f>+#REF!*0+188390</f>
        <v>#REF!</v>
      </c>
      <c r="F112" s="93" t="s">
        <v>390</v>
      </c>
    </row>
    <row r="113" spans="1:4" ht="12.75">
      <c r="A113" s="92" t="s">
        <v>433</v>
      </c>
      <c r="B113" s="32" t="s">
        <v>271</v>
      </c>
      <c r="C113" s="33" t="e">
        <f>SUM(C114:C144)-C115-C124-C120</f>
        <v>#REF!</v>
      </c>
      <c r="D113" s="33" t="e">
        <f>SUM(D114:D144)-D115-D124</f>
        <v>#REF!</v>
      </c>
    </row>
    <row r="114" spans="1:6" ht="12.75">
      <c r="A114" s="92">
        <v>1</v>
      </c>
      <c r="B114" s="89" t="s">
        <v>272</v>
      </c>
      <c r="C114" s="95" t="e">
        <f>+#REF!*0+2000000</f>
        <v>#REF!</v>
      </c>
      <c r="D114" s="95" t="s">
        <v>177</v>
      </c>
      <c r="F114" s="93" t="s">
        <v>36</v>
      </c>
    </row>
    <row r="115" spans="1:6" ht="12.75">
      <c r="A115" s="92">
        <f>+A114+1</f>
        <v>2</v>
      </c>
      <c r="B115" s="30" t="s">
        <v>273</v>
      </c>
      <c r="C115" s="34" t="e">
        <f>SUM(C116:C119)</f>
        <v>#REF!</v>
      </c>
      <c r="D115" s="95"/>
      <c r="F115" s="93" t="s">
        <v>395</v>
      </c>
    </row>
    <row r="116" spans="1:4" ht="12.75">
      <c r="A116" s="85">
        <v>1</v>
      </c>
      <c r="B116" s="90" t="s">
        <v>274</v>
      </c>
      <c r="C116" s="96" t="e">
        <f>+#REF!*0+17475</f>
        <v>#REF!</v>
      </c>
      <c r="D116" s="96" t="s">
        <v>177</v>
      </c>
    </row>
    <row r="117" spans="1:4" ht="12.75">
      <c r="A117" s="85">
        <f>+A116+1</f>
        <v>2</v>
      </c>
      <c r="B117" s="90" t="s">
        <v>275</v>
      </c>
      <c r="C117" s="96" t="e">
        <f>+#REF!*0+22697</f>
        <v>#REF!</v>
      </c>
      <c r="D117" s="96" t="s">
        <v>177</v>
      </c>
    </row>
    <row r="118" spans="1:4" ht="12.75">
      <c r="A118" s="85">
        <f>+A117+1</f>
        <v>3</v>
      </c>
      <c r="B118" s="90" t="s">
        <v>276</v>
      </c>
      <c r="C118" s="96" t="e">
        <f>+#REF!*0+565824</f>
        <v>#REF!</v>
      </c>
      <c r="D118" s="96"/>
    </row>
    <row r="119" spans="1:4" ht="12.75">
      <c r="A119" s="85">
        <f>+A118+1</f>
        <v>4</v>
      </c>
      <c r="B119" s="90" t="s">
        <v>493</v>
      </c>
      <c r="C119" s="96" t="e">
        <f>+#REF!*0+199652</f>
        <v>#REF!</v>
      </c>
      <c r="D119" s="96" t="s">
        <v>177</v>
      </c>
    </row>
    <row r="120" spans="1:6" ht="12.75">
      <c r="A120" s="92">
        <f>+A115+1</f>
        <v>3</v>
      </c>
      <c r="B120" s="30" t="s">
        <v>277</v>
      </c>
      <c r="C120" s="34">
        <f>SUM(C121:C123)</f>
        <v>6919769</v>
      </c>
      <c r="D120" s="95" t="s">
        <v>177</v>
      </c>
      <c r="F120" s="93" t="s">
        <v>394</v>
      </c>
    </row>
    <row r="121" spans="1:6" ht="12.75">
      <c r="A121" s="85">
        <v>1</v>
      </c>
      <c r="B121" s="90" t="s">
        <v>555</v>
      </c>
      <c r="C121" s="96">
        <f>555106*0+630519</f>
        <v>630519</v>
      </c>
      <c r="D121" s="90"/>
      <c r="F121" s="93" t="s">
        <v>394</v>
      </c>
    </row>
    <row r="122" spans="1:6" ht="12.75">
      <c r="A122" s="85">
        <f>+A121+1</f>
        <v>2</v>
      </c>
      <c r="B122" s="90" t="s">
        <v>556</v>
      </c>
      <c r="C122" s="96">
        <f>2962447*0+2962447</f>
        <v>2962447</v>
      </c>
      <c r="D122" s="90"/>
      <c r="F122" s="93" t="s">
        <v>140</v>
      </c>
    </row>
    <row r="123" spans="1:7" ht="12.75">
      <c r="A123" s="85">
        <f>+A122+1</f>
        <v>3</v>
      </c>
      <c r="B123" s="90" t="s">
        <v>557</v>
      </c>
      <c r="C123" s="96">
        <f>(2537768+G123)*0+3326803</f>
        <v>3326803</v>
      </c>
      <c r="D123" s="90"/>
      <c r="F123" s="93" t="s">
        <v>394</v>
      </c>
      <c r="G123" s="93">
        <v>1050000</v>
      </c>
    </row>
    <row r="124" spans="1:7" ht="12.75">
      <c r="A124" s="92">
        <f>+A120+1</f>
        <v>4</v>
      </c>
      <c r="B124" s="30" t="s">
        <v>278</v>
      </c>
      <c r="C124" s="34" t="e">
        <f>SUM(C125:C127)</f>
        <v>#REF!</v>
      </c>
      <c r="D124" s="34" t="e">
        <f>SUM(D125:D127)</f>
        <v>#REF!</v>
      </c>
      <c r="F124" s="93" t="s">
        <v>394</v>
      </c>
      <c r="G124" s="93" t="s">
        <v>558</v>
      </c>
    </row>
    <row r="125" spans="1:4" ht="12.75">
      <c r="A125" s="85">
        <v>1</v>
      </c>
      <c r="B125" s="90" t="s">
        <v>279</v>
      </c>
      <c r="C125" s="96"/>
      <c r="D125" s="96" t="e">
        <f>+#REF!*0+221741</f>
        <v>#REF!</v>
      </c>
    </row>
    <row r="126" spans="1:4" ht="12.75">
      <c r="A126" s="85">
        <f>+A125+1</f>
        <v>2</v>
      </c>
      <c r="B126" s="90" t="s">
        <v>280</v>
      </c>
      <c r="C126" s="96" t="e">
        <f>+#REF!*0+5963280</f>
        <v>#REF!</v>
      </c>
      <c r="D126" s="96"/>
    </row>
    <row r="127" spans="1:4" ht="12.75">
      <c r="A127" s="85">
        <f>+A126+1</f>
        <v>3</v>
      </c>
      <c r="B127" s="90" t="s">
        <v>281</v>
      </c>
      <c r="C127" s="96" t="e">
        <f>+#REF!*0+1444340</f>
        <v>#REF!</v>
      </c>
      <c r="D127" s="96"/>
    </row>
    <row r="128" spans="1:6" ht="12.75">
      <c r="A128" s="85">
        <f>+A127+1</f>
        <v>4</v>
      </c>
      <c r="B128" s="98" t="s">
        <v>568</v>
      </c>
      <c r="C128" s="100"/>
      <c r="D128" s="100">
        <v>312</v>
      </c>
      <c r="F128" s="93" t="s">
        <v>36</v>
      </c>
    </row>
    <row r="129" spans="1:6" ht="12.75">
      <c r="A129" s="92">
        <f>+A124+1</f>
        <v>5</v>
      </c>
      <c r="B129" s="89" t="s">
        <v>282</v>
      </c>
      <c r="C129" s="95" t="e">
        <f>+#REF!*0+357389</f>
        <v>#REF!</v>
      </c>
      <c r="D129" s="95" t="s">
        <v>177</v>
      </c>
      <c r="F129" s="93" t="s">
        <v>395</v>
      </c>
    </row>
    <row r="130" spans="1:6" ht="12.75">
      <c r="A130" s="92">
        <f>+A129+1</f>
        <v>6</v>
      </c>
      <c r="B130" s="89" t="s">
        <v>283</v>
      </c>
      <c r="C130" s="95" t="e">
        <f>+#REF!*0+702241</f>
        <v>#REF!</v>
      </c>
      <c r="D130" s="95" t="s">
        <v>177</v>
      </c>
      <c r="F130" s="93" t="s">
        <v>38</v>
      </c>
    </row>
    <row r="131" spans="1:6" ht="12.75">
      <c r="A131" s="92">
        <f>+A130+1</f>
        <v>7</v>
      </c>
      <c r="B131" s="89" t="s">
        <v>284</v>
      </c>
      <c r="C131" s="95" t="e">
        <f>+#REF!*0+6459482</f>
        <v>#REF!</v>
      </c>
      <c r="D131" s="95" t="s">
        <v>177</v>
      </c>
      <c r="F131" s="93" t="s">
        <v>395</v>
      </c>
    </row>
    <row r="132" spans="1:6" ht="12.75">
      <c r="A132" s="92">
        <f aca="true" t="shared" si="5" ref="A132:A144">+A131+1</f>
        <v>8</v>
      </c>
      <c r="B132" s="89" t="s">
        <v>285</v>
      </c>
      <c r="C132" s="95" t="e">
        <f>+#REF!*0+492375</f>
        <v>#REF!</v>
      </c>
      <c r="D132" s="95" t="s">
        <v>177</v>
      </c>
      <c r="F132" s="93" t="s">
        <v>395</v>
      </c>
    </row>
    <row r="133" spans="1:6" ht="12.75">
      <c r="A133" s="92">
        <f t="shared" si="5"/>
        <v>9</v>
      </c>
      <c r="B133" s="89" t="s">
        <v>286</v>
      </c>
      <c r="C133" s="95" t="e">
        <f>+#REF!*0+72540</f>
        <v>#REF!</v>
      </c>
      <c r="D133" s="95" t="s">
        <v>177</v>
      </c>
      <c r="F133" s="93" t="s">
        <v>395</v>
      </c>
    </row>
    <row r="134" spans="1:6" ht="12.75">
      <c r="A134" s="92">
        <f t="shared" si="5"/>
        <v>10</v>
      </c>
      <c r="B134" s="89" t="s">
        <v>287</v>
      </c>
      <c r="C134" s="95" t="e">
        <f>+#REF!*0+3577204</f>
        <v>#REF!</v>
      </c>
      <c r="D134" s="95" t="s">
        <v>177</v>
      </c>
      <c r="F134" s="93" t="s">
        <v>38</v>
      </c>
    </row>
    <row r="135" spans="1:7" ht="12.75">
      <c r="A135" s="92">
        <f t="shared" si="5"/>
        <v>11</v>
      </c>
      <c r="B135" s="89" t="s">
        <v>288</v>
      </c>
      <c r="C135" s="95" t="e">
        <f>+#REF!*0+426354</f>
        <v>#REF!</v>
      </c>
      <c r="D135" s="95" t="s">
        <v>177</v>
      </c>
      <c r="F135" s="93" t="s">
        <v>399</v>
      </c>
      <c r="G135" s="93" t="s">
        <v>526</v>
      </c>
    </row>
    <row r="136" spans="1:7" ht="12.75">
      <c r="A136" s="92">
        <f t="shared" si="5"/>
        <v>12</v>
      </c>
      <c r="B136" s="89" t="s">
        <v>289</v>
      </c>
      <c r="C136" s="95" t="e">
        <f>+#REF!*0+114746</f>
        <v>#REF!</v>
      </c>
      <c r="D136" s="95" t="s">
        <v>177</v>
      </c>
      <c r="F136" s="93" t="s">
        <v>399</v>
      </c>
      <c r="G136" s="93" t="s">
        <v>526</v>
      </c>
    </row>
    <row r="137" spans="1:6" ht="12.75">
      <c r="A137" s="92">
        <f t="shared" si="5"/>
        <v>13</v>
      </c>
      <c r="B137" s="89" t="s">
        <v>533</v>
      </c>
      <c r="C137" s="95"/>
      <c r="D137" s="95" t="e">
        <f>+#REF!*0+939187</f>
        <v>#REF!</v>
      </c>
      <c r="F137" s="93" t="s">
        <v>395</v>
      </c>
    </row>
    <row r="138" spans="1:6" ht="12.75">
      <c r="A138" s="92">
        <f t="shared" si="5"/>
        <v>14</v>
      </c>
      <c r="B138" s="89" t="s">
        <v>290</v>
      </c>
      <c r="C138" s="95" t="e">
        <f>+#REF!*0+493032-27000</f>
        <v>#REF!</v>
      </c>
      <c r="D138" s="95" t="s">
        <v>177</v>
      </c>
      <c r="F138" s="93" t="s">
        <v>397</v>
      </c>
    </row>
    <row r="139" spans="1:6" ht="12.75">
      <c r="A139" s="92">
        <f t="shared" si="5"/>
        <v>15</v>
      </c>
      <c r="B139" s="89" t="s">
        <v>291</v>
      </c>
      <c r="C139" s="95" t="e">
        <f>+#REF!*0+287100.13</f>
        <v>#REF!</v>
      </c>
      <c r="D139" s="95" t="s">
        <v>177</v>
      </c>
      <c r="F139" s="93" t="s">
        <v>397</v>
      </c>
    </row>
    <row r="140" spans="1:6" ht="12.75">
      <c r="A140" s="92">
        <f t="shared" si="5"/>
        <v>16</v>
      </c>
      <c r="B140" s="89" t="s">
        <v>292</v>
      </c>
      <c r="C140" s="95" t="e">
        <f>+#REF!*0+13991368.05</f>
        <v>#REF!</v>
      </c>
      <c r="D140" s="95" t="s">
        <v>177</v>
      </c>
      <c r="F140" s="93" t="s">
        <v>38</v>
      </c>
    </row>
    <row r="141" spans="1:6" ht="12.75">
      <c r="A141" s="92">
        <f t="shared" si="5"/>
        <v>17</v>
      </c>
      <c r="B141" s="89" t="s">
        <v>293</v>
      </c>
      <c r="C141" s="95" t="e">
        <f>+#REF!*0+66994</f>
        <v>#REF!</v>
      </c>
      <c r="D141" s="95" t="s">
        <v>177</v>
      </c>
      <c r="F141" s="93" t="s">
        <v>394</v>
      </c>
    </row>
    <row r="142" spans="1:6" ht="12.75">
      <c r="A142" s="92">
        <f t="shared" si="5"/>
        <v>18</v>
      </c>
      <c r="B142" s="89" t="s">
        <v>294</v>
      </c>
      <c r="C142" s="95" t="s">
        <v>177</v>
      </c>
      <c r="D142" s="95" t="e">
        <f>+#REF!*0+5110</f>
        <v>#REF!</v>
      </c>
      <c r="F142" s="93" t="s">
        <v>395</v>
      </c>
    </row>
    <row r="143" spans="1:6" ht="12.75">
      <c r="A143" s="92">
        <f t="shared" si="5"/>
        <v>19</v>
      </c>
      <c r="B143" s="89" t="s">
        <v>295</v>
      </c>
      <c r="C143" s="95" t="s">
        <v>177</v>
      </c>
      <c r="D143" s="95" t="e">
        <f>+#REF!*0+40036</f>
        <v>#REF!</v>
      </c>
      <c r="F143" s="93" t="s">
        <v>395</v>
      </c>
    </row>
    <row r="144" spans="1:6" ht="12.75">
      <c r="A144" s="92">
        <f t="shared" si="5"/>
        <v>20</v>
      </c>
      <c r="B144" s="89" t="s">
        <v>296</v>
      </c>
      <c r="C144" s="95" t="e">
        <f>+#REF!*0+747006</f>
        <v>#REF!</v>
      </c>
      <c r="D144" s="95" t="s">
        <v>177</v>
      </c>
      <c r="F144" s="93" t="s">
        <v>394</v>
      </c>
    </row>
    <row r="145" spans="1:4" ht="12.75">
      <c r="A145" s="92" t="s">
        <v>516</v>
      </c>
      <c r="B145" s="32" t="s">
        <v>297</v>
      </c>
      <c r="C145" s="33" t="e">
        <f>SUM(C146:C157)-C146</f>
        <v>#REF!</v>
      </c>
      <c r="D145" s="33">
        <f>SUM(D146:D157)-D146</f>
        <v>0</v>
      </c>
    </row>
    <row r="146" spans="1:4" ht="12.75">
      <c r="A146" s="92">
        <v>1</v>
      </c>
      <c r="B146" s="30" t="s">
        <v>298</v>
      </c>
      <c r="C146" s="34" t="e">
        <f>SUM(C147:C153)</f>
        <v>#REF!</v>
      </c>
      <c r="D146" s="34">
        <f>SUM(D147:D153)</f>
        <v>0</v>
      </c>
    </row>
    <row r="147" spans="1:4" ht="12.75">
      <c r="A147" s="85">
        <v>1</v>
      </c>
      <c r="B147" s="90" t="s">
        <v>545</v>
      </c>
      <c r="C147" s="97" t="e">
        <f>+#REF!*0+8514</f>
        <v>#REF!</v>
      </c>
      <c r="D147" s="96"/>
    </row>
    <row r="148" spans="1:4" ht="12.75">
      <c r="A148" s="85">
        <f aca="true" t="shared" si="6" ref="A148:A153">+A147+1</f>
        <v>2</v>
      </c>
      <c r="B148" s="90" t="s">
        <v>299</v>
      </c>
      <c r="C148" s="97" t="e">
        <f>+#REF!*0+322078</f>
        <v>#REF!</v>
      </c>
      <c r="D148" s="96" t="s">
        <v>177</v>
      </c>
    </row>
    <row r="149" spans="1:6" ht="12.75">
      <c r="A149" s="85">
        <f t="shared" si="6"/>
        <v>3</v>
      </c>
      <c r="B149" s="90" t="s">
        <v>300</v>
      </c>
      <c r="C149" s="97" t="e">
        <f>+#REF!*0+1347654</f>
        <v>#REF!</v>
      </c>
      <c r="D149" s="96" t="s">
        <v>177</v>
      </c>
      <c r="F149" s="93" t="s">
        <v>401</v>
      </c>
    </row>
    <row r="150" spans="1:6" ht="12.75">
      <c r="A150" s="85">
        <f t="shared" si="6"/>
        <v>4</v>
      </c>
      <c r="B150" s="90" t="s">
        <v>301</v>
      </c>
      <c r="C150" s="97" t="e">
        <f>+#REF!*0+985270</f>
        <v>#REF!</v>
      </c>
      <c r="D150" s="96" t="s">
        <v>177</v>
      </c>
      <c r="F150" s="93" t="s">
        <v>401</v>
      </c>
    </row>
    <row r="151" spans="1:6" ht="12.75">
      <c r="A151" s="85">
        <f t="shared" si="6"/>
        <v>5</v>
      </c>
      <c r="B151" s="90" t="s">
        <v>302</v>
      </c>
      <c r="C151" s="97" t="e">
        <f>+#REF!*0+1317763</f>
        <v>#REF!</v>
      </c>
      <c r="D151" s="96" t="s">
        <v>177</v>
      </c>
      <c r="F151" s="93" t="s">
        <v>400</v>
      </c>
    </row>
    <row r="152" spans="1:6" ht="12.75">
      <c r="A152" s="85">
        <f t="shared" si="6"/>
        <v>6</v>
      </c>
      <c r="B152" s="90" t="s">
        <v>303</v>
      </c>
      <c r="C152" s="97" t="e">
        <f>+#REF!*0+45467</f>
        <v>#REF!</v>
      </c>
      <c r="D152" s="96" t="s">
        <v>177</v>
      </c>
      <c r="F152" s="93" t="s">
        <v>400</v>
      </c>
    </row>
    <row r="153" spans="1:6" ht="12.75">
      <c r="A153" s="85">
        <f t="shared" si="6"/>
        <v>7</v>
      </c>
      <c r="B153" s="90" t="s">
        <v>304</v>
      </c>
      <c r="C153" s="97" t="e">
        <f>+#REF!*0+65765</f>
        <v>#REF!</v>
      </c>
      <c r="D153" s="96" t="s">
        <v>177</v>
      </c>
      <c r="F153" s="93" t="s">
        <v>400</v>
      </c>
    </row>
    <row r="154" spans="1:6" ht="12.75">
      <c r="A154" s="92">
        <f>+A146+1</f>
        <v>2</v>
      </c>
      <c r="B154" s="89" t="s">
        <v>305</v>
      </c>
      <c r="C154" s="95" t="e">
        <f>+#REF!*0+59771</f>
        <v>#REF!</v>
      </c>
      <c r="D154" s="95" t="s">
        <v>177</v>
      </c>
      <c r="F154" s="93" t="s">
        <v>397</v>
      </c>
    </row>
    <row r="155" spans="1:6" ht="12.75">
      <c r="A155" s="92">
        <f>+A154+1</f>
        <v>3</v>
      </c>
      <c r="B155" s="89" t="s">
        <v>306</v>
      </c>
      <c r="C155" s="95" t="e">
        <f>+#REF!*0+2191285</f>
        <v>#REF!</v>
      </c>
      <c r="D155" s="95" t="s">
        <v>177</v>
      </c>
      <c r="F155" s="93" t="s">
        <v>399</v>
      </c>
    </row>
    <row r="156" spans="1:6" ht="12.75">
      <c r="A156" s="92">
        <f>+A155+1</f>
        <v>4</v>
      </c>
      <c r="B156" s="89" t="s">
        <v>307</v>
      </c>
      <c r="C156" s="95" t="e">
        <f>+#REF!*0+56458</f>
        <v>#REF!</v>
      </c>
      <c r="D156" s="95" t="s">
        <v>177</v>
      </c>
      <c r="F156" s="93" t="s">
        <v>398</v>
      </c>
    </row>
    <row r="157" spans="1:6" ht="12.75">
      <c r="A157" s="92">
        <f>+A156+1</f>
        <v>5</v>
      </c>
      <c r="B157" s="89" t="s">
        <v>308</v>
      </c>
      <c r="C157" s="95" t="e">
        <f>+#REF!*0+3215</f>
        <v>#REF!</v>
      </c>
      <c r="D157" s="95" t="s">
        <v>177</v>
      </c>
      <c r="F157" s="93" t="s">
        <v>397</v>
      </c>
    </row>
    <row r="158" spans="1:7" ht="12.75">
      <c r="A158" s="92" t="s">
        <v>517</v>
      </c>
      <c r="B158" s="32" t="s">
        <v>309</v>
      </c>
      <c r="C158" s="33">
        <f>SUM(C159:C161)</f>
        <v>0</v>
      </c>
      <c r="D158" s="33" t="e">
        <f>SUM(D159:D161)</f>
        <v>#REF!</v>
      </c>
      <c r="E158" s="26"/>
      <c r="F158" s="26"/>
      <c r="G158" s="26"/>
    </row>
    <row r="159" spans="1:4" ht="12.75">
      <c r="A159" s="92">
        <v>1</v>
      </c>
      <c r="B159" s="89" t="s">
        <v>310</v>
      </c>
      <c r="C159" s="95" t="s">
        <v>177</v>
      </c>
      <c r="D159" s="95" t="e">
        <f>+#REF!*0+4000</f>
        <v>#REF!</v>
      </c>
    </row>
    <row r="160" spans="1:4" ht="12.75">
      <c r="A160" s="92">
        <f>+A159+1</f>
        <v>2</v>
      </c>
      <c r="B160" s="89" t="s">
        <v>546</v>
      </c>
      <c r="C160" s="95"/>
      <c r="D160" s="95" t="e">
        <f>+#REF!*0+2596</f>
        <v>#REF!</v>
      </c>
    </row>
    <row r="161" spans="1:4" ht="12.75">
      <c r="A161" s="92">
        <f>+A160+1</f>
        <v>3</v>
      </c>
      <c r="B161" s="89" t="s">
        <v>311</v>
      </c>
      <c r="C161" s="95" t="s">
        <v>177</v>
      </c>
      <c r="D161" s="95" t="e">
        <f>+#REF!*0+639.54</f>
        <v>#REF!</v>
      </c>
    </row>
    <row r="162" spans="1:4" ht="12.75">
      <c r="A162" s="92" t="s">
        <v>518</v>
      </c>
      <c r="B162" s="32" t="s">
        <v>312</v>
      </c>
      <c r="C162" s="33" t="e">
        <f>SUM(C163:C220)-C163-C172-C179-C183-C201-C210</f>
        <v>#REF!</v>
      </c>
      <c r="D162" s="33" t="e">
        <f>SUM(D163:D220)-D163-D172-D179-D183-D201-D210</f>
        <v>#REF!</v>
      </c>
    </row>
    <row r="163" spans="1:4" ht="12.75">
      <c r="A163" s="92">
        <v>1</v>
      </c>
      <c r="B163" s="30" t="s">
        <v>313</v>
      </c>
      <c r="C163" s="34" t="e">
        <f>SUM(C164:C171)</f>
        <v>#REF!</v>
      </c>
      <c r="D163" s="34"/>
    </row>
    <row r="164" spans="1:6" ht="12.75">
      <c r="A164" s="85">
        <v>1</v>
      </c>
      <c r="B164" s="90" t="s">
        <v>314</v>
      </c>
      <c r="C164" s="97" t="e">
        <f>+#REF!*0+20000*0+255511</f>
        <v>#REF!</v>
      </c>
      <c r="D164" s="96" t="s">
        <v>177</v>
      </c>
      <c r="F164" s="93">
        <v>20000</v>
      </c>
    </row>
    <row r="165" spans="1:6" ht="12.75">
      <c r="A165" s="85">
        <f aca="true" t="shared" si="7" ref="A165:A171">+A164+1</f>
        <v>2</v>
      </c>
      <c r="B165" s="90" t="s">
        <v>315</v>
      </c>
      <c r="C165" s="97" t="e">
        <f>+#REF!*0+41959</f>
        <v>#REF!</v>
      </c>
      <c r="D165" s="96" t="s">
        <v>177</v>
      </c>
      <c r="F165" s="93" t="s">
        <v>559</v>
      </c>
    </row>
    <row r="166" spans="1:4" ht="12.75">
      <c r="A166" s="85">
        <f t="shared" si="7"/>
        <v>3</v>
      </c>
      <c r="B166" s="90" t="s">
        <v>316</v>
      </c>
      <c r="C166" s="97" t="e">
        <f>+#REF!*0+2621511</f>
        <v>#REF!</v>
      </c>
      <c r="D166" s="96" t="s">
        <v>177</v>
      </c>
    </row>
    <row r="167" spans="1:4" ht="12.75">
      <c r="A167" s="85">
        <f t="shared" si="7"/>
        <v>4</v>
      </c>
      <c r="B167" s="90" t="s">
        <v>547</v>
      </c>
      <c r="C167" s="97" t="e">
        <f>+#REF!*0+21375</f>
        <v>#REF!</v>
      </c>
      <c r="D167" s="96"/>
    </row>
    <row r="168" spans="1:4" ht="12.75">
      <c r="A168" s="85">
        <f t="shared" si="7"/>
        <v>5</v>
      </c>
      <c r="B168" s="98" t="s">
        <v>567</v>
      </c>
      <c r="C168" s="99">
        <v>99180</v>
      </c>
      <c r="D168" s="100"/>
    </row>
    <row r="169" spans="1:4" ht="12.75">
      <c r="A169" s="85">
        <f t="shared" si="7"/>
        <v>6</v>
      </c>
      <c r="B169" s="90" t="s">
        <v>317</v>
      </c>
      <c r="C169" s="97" t="e">
        <f>+#REF!*0+75730</f>
        <v>#REF!</v>
      </c>
      <c r="D169" s="96" t="s">
        <v>177</v>
      </c>
    </row>
    <row r="170" spans="1:4" ht="12.75">
      <c r="A170" s="85">
        <f t="shared" si="7"/>
        <v>7</v>
      </c>
      <c r="B170" s="90" t="s">
        <v>318</v>
      </c>
      <c r="C170" s="97" t="e">
        <f>+#REF!*0+75657</f>
        <v>#REF!</v>
      </c>
      <c r="D170" s="96" t="s">
        <v>177</v>
      </c>
    </row>
    <row r="171" spans="1:4" ht="12.75">
      <c r="A171" s="85">
        <f t="shared" si="7"/>
        <v>8</v>
      </c>
      <c r="B171" s="90" t="s">
        <v>319</v>
      </c>
      <c r="C171" s="97" t="e">
        <f>+#REF!*0+0.28</f>
        <v>#REF!</v>
      </c>
      <c r="D171" s="96" t="s">
        <v>177</v>
      </c>
    </row>
    <row r="172" spans="1:4" ht="12.75">
      <c r="A172" s="92">
        <f>+A163+1</f>
        <v>2</v>
      </c>
      <c r="B172" s="30" t="s">
        <v>320</v>
      </c>
      <c r="C172" s="34" t="e">
        <f>SUM(C173:C177)</f>
        <v>#REF!</v>
      </c>
      <c r="D172" s="34">
        <f>SUM(D173:D177)</f>
        <v>0</v>
      </c>
    </row>
    <row r="173" spans="1:4" ht="12.75">
      <c r="A173" s="85">
        <v>1</v>
      </c>
      <c r="B173" s="90" t="s">
        <v>321</v>
      </c>
      <c r="C173" s="97" t="e">
        <f>+#REF!*0+3072375+1427625</f>
        <v>#REF!</v>
      </c>
      <c r="D173" s="96" t="s">
        <v>177</v>
      </c>
    </row>
    <row r="174" spans="1:4" ht="12.75">
      <c r="A174" s="85">
        <f>+A173+1</f>
        <v>2</v>
      </c>
      <c r="B174" s="90" t="s">
        <v>13</v>
      </c>
      <c r="C174" s="97" t="e">
        <f>+#REF!*0+8775000</f>
        <v>#REF!</v>
      </c>
      <c r="D174" s="96" t="s">
        <v>177</v>
      </c>
    </row>
    <row r="175" spans="1:4" ht="12.75">
      <c r="A175" s="85">
        <f>+A174+1</f>
        <v>3</v>
      </c>
      <c r="B175" s="90" t="s">
        <v>322</v>
      </c>
      <c r="C175" s="97" t="e">
        <f>+#REF!*0+17316000</f>
        <v>#REF!</v>
      </c>
      <c r="D175" s="96" t="s">
        <v>177</v>
      </c>
    </row>
    <row r="176" spans="1:6" ht="12.75">
      <c r="A176" s="85">
        <f>+A175+1</f>
        <v>4</v>
      </c>
      <c r="B176" s="90" t="s">
        <v>323</v>
      </c>
      <c r="C176" s="97" t="e">
        <f>+#REF!*0+2667813</f>
        <v>#REF!</v>
      </c>
      <c r="D176" s="96" t="s">
        <v>177</v>
      </c>
      <c r="F176" s="93" t="s">
        <v>398</v>
      </c>
    </row>
    <row r="177" spans="1:4" ht="12.75">
      <c r="A177" s="85">
        <f>+A176+1</f>
        <v>5</v>
      </c>
      <c r="B177" s="90" t="s">
        <v>324</v>
      </c>
      <c r="C177" s="97" t="e">
        <f>+#REF!*0+1350000</f>
        <v>#REF!</v>
      </c>
      <c r="D177" s="96" t="s">
        <v>177</v>
      </c>
    </row>
    <row r="178" spans="1:4" ht="12.75">
      <c r="A178" s="92">
        <f>+A172+1</f>
        <v>3</v>
      </c>
      <c r="B178" s="89" t="s">
        <v>325</v>
      </c>
      <c r="C178" s="95" t="e">
        <f>+#REF!*0+41924</f>
        <v>#REF!</v>
      </c>
      <c r="D178" s="95" t="s">
        <v>177</v>
      </c>
    </row>
    <row r="179" spans="1:4" ht="12.75">
      <c r="A179" s="92">
        <f>+A178+1</f>
        <v>4</v>
      </c>
      <c r="B179" s="30" t="s">
        <v>326</v>
      </c>
      <c r="C179" s="34" t="e">
        <f>SUM(C180:C182)</f>
        <v>#REF!</v>
      </c>
      <c r="D179" s="34">
        <f>SUM(D180:D182)</f>
        <v>0</v>
      </c>
    </row>
    <row r="180" spans="1:4" ht="12.75">
      <c r="A180" s="85">
        <v>1</v>
      </c>
      <c r="B180" s="90" t="s">
        <v>327</v>
      </c>
      <c r="C180" s="97" t="e">
        <f>+#REF!*0+144827</f>
        <v>#REF!</v>
      </c>
      <c r="D180" s="96" t="s">
        <v>177</v>
      </c>
    </row>
    <row r="181" spans="1:4" ht="12.75">
      <c r="A181" s="85">
        <f aca="true" t="shared" si="8" ref="A181:A199">+A180+1</f>
        <v>2</v>
      </c>
      <c r="B181" s="90" t="s">
        <v>328</v>
      </c>
      <c r="C181" s="97" t="e">
        <f>+#REF!*0+4455</f>
        <v>#REF!</v>
      </c>
      <c r="D181" s="96" t="s">
        <v>177</v>
      </c>
    </row>
    <row r="182" spans="1:4" ht="12.75">
      <c r="A182" s="85">
        <f t="shared" si="8"/>
        <v>3</v>
      </c>
      <c r="B182" s="90" t="s">
        <v>329</v>
      </c>
      <c r="C182" s="97" t="e">
        <f>+#REF!*0+34977</f>
        <v>#REF!</v>
      </c>
      <c r="D182" s="96" t="s">
        <v>177</v>
      </c>
    </row>
    <row r="183" spans="1:4" ht="12.75">
      <c r="A183" s="92">
        <f>+A179+1</f>
        <v>5</v>
      </c>
      <c r="B183" s="30" t="s">
        <v>330</v>
      </c>
      <c r="C183" s="34" t="e">
        <f>SUM(C184:C199)</f>
        <v>#REF!</v>
      </c>
      <c r="D183" s="34">
        <f>SUM(D184:D199)</f>
        <v>0</v>
      </c>
    </row>
    <row r="184" spans="1:4" ht="12.75">
      <c r="A184" s="85">
        <v>1</v>
      </c>
      <c r="B184" s="90" t="s">
        <v>331</v>
      </c>
      <c r="C184" s="97" t="e">
        <f>+#REF!*0+345249.5</f>
        <v>#REF!</v>
      </c>
      <c r="D184" s="96" t="s">
        <v>177</v>
      </c>
    </row>
    <row r="185" spans="1:4" ht="12.75">
      <c r="A185" s="85">
        <f t="shared" si="8"/>
        <v>2</v>
      </c>
      <c r="B185" s="90" t="s">
        <v>332</v>
      </c>
      <c r="C185" s="97" t="e">
        <f>+#REF!*0+132143</f>
        <v>#REF!</v>
      </c>
      <c r="D185" s="96" t="s">
        <v>177</v>
      </c>
    </row>
    <row r="186" spans="1:6" ht="12.75">
      <c r="A186" s="85">
        <f t="shared" si="8"/>
        <v>3</v>
      </c>
      <c r="B186" s="90" t="s">
        <v>333</v>
      </c>
      <c r="C186" s="97" t="e">
        <f>+#REF!*0+896668</f>
        <v>#REF!</v>
      </c>
      <c r="D186" s="96" t="s">
        <v>177</v>
      </c>
      <c r="F186" s="93" t="s">
        <v>398</v>
      </c>
    </row>
    <row r="187" spans="1:4" ht="12.75">
      <c r="A187" s="91">
        <f t="shared" si="8"/>
        <v>4</v>
      </c>
      <c r="B187" s="98" t="s">
        <v>566</v>
      </c>
      <c r="C187" s="99" t="e">
        <f>3545743.5-C184-C185-C186</f>
        <v>#REF!</v>
      </c>
      <c r="D187" s="100"/>
    </row>
    <row r="188" spans="1:4" ht="12.75" hidden="1">
      <c r="A188" s="85">
        <f>+A186+1</f>
        <v>4</v>
      </c>
      <c r="B188" s="90" t="s">
        <v>334</v>
      </c>
      <c r="C188" s="97" t="e">
        <f>+#REF!*0</f>
        <v>#REF!</v>
      </c>
      <c r="D188" s="96" t="s">
        <v>177</v>
      </c>
    </row>
    <row r="189" spans="1:4" ht="12.75" hidden="1">
      <c r="A189" s="85">
        <f t="shared" si="8"/>
        <v>5</v>
      </c>
      <c r="B189" s="90" t="s">
        <v>335</v>
      </c>
      <c r="C189" s="97" t="e">
        <f>+#REF!*0</f>
        <v>#REF!</v>
      </c>
      <c r="D189" s="96" t="s">
        <v>177</v>
      </c>
    </row>
    <row r="190" spans="1:4" ht="12.75" hidden="1">
      <c r="A190" s="85">
        <f t="shared" si="8"/>
        <v>6</v>
      </c>
      <c r="B190" s="90" t="s">
        <v>336</v>
      </c>
      <c r="C190" s="97" t="e">
        <f>+#REF!*0</f>
        <v>#REF!</v>
      </c>
      <c r="D190" s="96" t="s">
        <v>177</v>
      </c>
    </row>
    <row r="191" spans="1:4" ht="12.75" hidden="1">
      <c r="A191" s="85">
        <f t="shared" si="8"/>
        <v>7</v>
      </c>
      <c r="B191" s="90" t="s">
        <v>337</v>
      </c>
      <c r="C191" s="97" t="e">
        <f>+#REF!*0</f>
        <v>#REF!</v>
      </c>
      <c r="D191" s="96" t="s">
        <v>177</v>
      </c>
    </row>
    <row r="192" spans="1:4" ht="12.75" hidden="1">
      <c r="A192" s="85">
        <f t="shared" si="8"/>
        <v>8</v>
      </c>
      <c r="B192" s="90" t="s">
        <v>338</v>
      </c>
      <c r="C192" s="97" t="e">
        <f>+#REF!*0</f>
        <v>#REF!</v>
      </c>
      <c r="D192" s="96" t="s">
        <v>177</v>
      </c>
    </row>
    <row r="193" spans="1:4" ht="12.75" hidden="1">
      <c r="A193" s="85">
        <f t="shared" si="8"/>
        <v>9</v>
      </c>
      <c r="B193" s="90" t="s">
        <v>339</v>
      </c>
      <c r="C193" s="97" t="e">
        <f>+#REF!*0</f>
        <v>#REF!</v>
      </c>
      <c r="D193" s="96" t="s">
        <v>177</v>
      </c>
    </row>
    <row r="194" spans="1:4" ht="12.75" hidden="1">
      <c r="A194" s="85">
        <f t="shared" si="8"/>
        <v>10</v>
      </c>
      <c r="B194" s="90" t="s">
        <v>340</v>
      </c>
      <c r="C194" s="97" t="e">
        <f>+#REF!*0</f>
        <v>#REF!</v>
      </c>
      <c r="D194" s="96" t="s">
        <v>177</v>
      </c>
    </row>
    <row r="195" spans="1:4" ht="12.75" hidden="1">
      <c r="A195" s="85">
        <f t="shared" si="8"/>
        <v>11</v>
      </c>
      <c r="B195" s="90" t="s">
        <v>341</v>
      </c>
      <c r="C195" s="97" t="e">
        <f>+#REF!*0</f>
        <v>#REF!</v>
      </c>
      <c r="D195" s="96" t="s">
        <v>177</v>
      </c>
    </row>
    <row r="196" spans="1:4" ht="12.75" hidden="1">
      <c r="A196" s="85">
        <f t="shared" si="8"/>
        <v>12</v>
      </c>
      <c r="B196" s="90" t="s">
        <v>48</v>
      </c>
      <c r="C196" s="97" t="e">
        <f>+#REF!*0</f>
        <v>#REF!</v>
      </c>
      <c r="D196" s="96" t="s">
        <v>177</v>
      </c>
    </row>
    <row r="197" spans="1:4" ht="12.75" hidden="1">
      <c r="A197" s="85">
        <f t="shared" si="8"/>
        <v>13</v>
      </c>
      <c r="B197" s="90" t="s">
        <v>342</v>
      </c>
      <c r="C197" s="97" t="e">
        <f>+#REF!*0</f>
        <v>#REF!</v>
      </c>
      <c r="D197" s="96" t="s">
        <v>177</v>
      </c>
    </row>
    <row r="198" spans="1:4" ht="12.75" hidden="1">
      <c r="A198" s="85">
        <f t="shared" si="8"/>
        <v>14</v>
      </c>
      <c r="B198" s="90" t="s">
        <v>343</v>
      </c>
      <c r="C198" s="97" t="e">
        <f>+#REF!*0</f>
        <v>#REF!</v>
      </c>
      <c r="D198" s="96" t="s">
        <v>177</v>
      </c>
    </row>
    <row r="199" spans="1:4" ht="12.75" hidden="1">
      <c r="A199" s="85">
        <f t="shared" si="8"/>
        <v>15</v>
      </c>
      <c r="B199" s="90" t="s">
        <v>344</v>
      </c>
      <c r="C199" s="97" t="e">
        <f>+#REF!*0</f>
        <v>#REF!</v>
      </c>
      <c r="D199" s="96" t="s">
        <v>177</v>
      </c>
    </row>
    <row r="200" spans="1:4" ht="12.75">
      <c r="A200" s="92">
        <f>+A183+1</f>
        <v>6</v>
      </c>
      <c r="B200" s="89" t="s">
        <v>345</v>
      </c>
      <c r="C200" s="101" t="e">
        <f>+#REF!*0+147045</f>
        <v>#REF!</v>
      </c>
      <c r="D200" s="95" t="s">
        <v>177</v>
      </c>
    </row>
    <row r="201" spans="1:4" ht="12.75">
      <c r="A201" s="92">
        <f>+A200+1</f>
        <v>7</v>
      </c>
      <c r="B201" s="30" t="s">
        <v>346</v>
      </c>
      <c r="C201" s="34" t="e">
        <f>SUM(C202:C209)</f>
        <v>#REF!</v>
      </c>
      <c r="D201" s="34">
        <f>SUM(D202:D209)</f>
        <v>0</v>
      </c>
    </row>
    <row r="202" spans="1:4" ht="12.75">
      <c r="A202" s="85">
        <v>1</v>
      </c>
      <c r="B202" s="90" t="s">
        <v>347</v>
      </c>
      <c r="C202" s="97" t="e">
        <f>+#REF!*0+14358</f>
        <v>#REF!</v>
      </c>
      <c r="D202" s="96" t="s">
        <v>177</v>
      </c>
    </row>
    <row r="203" spans="1:4" ht="12.75">
      <c r="A203" s="85">
        <f aca="true" t="shared" si="9" ref="A203:A217">+A202+1</f>
        <v>2</v>
      </c>
      <c r="B203" s="90" t="s">
        <v>348</v>
      </c>
      <c r="C203" s="97" t="e">
        <f>+#REF!*0+8895</f>
        <v>#REF!</v>
      </c>
      <c r="D203" s="96" t="s">
        <v>177</v>
      </c>
    </row>
    <row r="204" spans="1:4" ht="12.75">
      <c r="A204" s="85">
        <f t="shared" si="9"/>
        <v>3</v>
      </c>
      <c r="B204" s="90" t="s">
        <v>494</v>
      </c>
      <c r="C204" s="97" t="e">
        <f>+#REF!*0+2990</f>
        <v>#REF!</v>
      </c>
      <c r="D204" s="96"/>
    </row>
    <row r="205" spans="1:4" ht="12.75">
      <c r="A205" s="85">
        <f t="shared" si="9"/>
        <v>4</v>
      </c>
      <c r="B205" s="90" t="s">
        <v>349</v>
      </c>
      <c r="C205" s="97" t="e">
        <f>+#REF!*0+41458</f>
        <v>#REF!</v>
      </c>
      <c r="D205" s="96" t="s">
        <v>177</v>
      </c>
    </row>
    <row r="206" spans="1:4" ht="12.75">
      <c r="A206" s="85">
        <f t="shared" si="9"/>
        <v>5</v>
      </c>
      <c r="B206" s="90" t="s">
        <v>350</v>
      </c>
      <c r="C206" s="97" t="e">
        <f>+#REF!*0+12147</f>
        <v>#REF!</v>
      </c>
      <c r="D206" s="96" t="s">
        <v>177</v>
      </c>
    </row>
    <row r="207" spans="1:4" ht="12.75">
      <c r="A207" s="85">
        <f t="shared" si="9"/>
        <v>6</v>
      </c>
      <c r="B207" s="90" t="s">
        <v>351</v>
      </c>
      <c r="C207" s="97" t="e">
        <f>+#REF!*0+95700</f>
        <v>#REF!</v>
      </c>
      <c r="D207" s="96" t="s">
        <v>177</v>
      </c>
    </row>
    <row r="208" spans="1:4" ht="12.75">
      <c r="A208" s="85">
        <f t="shared" si="9"/>
        <v>7</v>
      </c>
      <c r="B208" s="90" t="s">
        <v>352</v>
      </c>
      <c r="C208" s="97" t="e">
        <f>+#REF!*0+24221</f>
        <v>#REF!</v>
      </c>
      <c r="D208" s="96" t="s">
        <v>177</v>
      </c>
    </row>
    <row r="209" spans="1:4" ht="12.75">
      <c r="A209" s="85">
        <f t="shared" si="9"/>
        <v>8</v>
      </c>
      <c r="B209" s="90" t="s">
        <v>353</v>
      </c>
      <c r="C209" s="97" t="e">
        <f>+#REF!*0+98703</f>
        <v>#REF!</v>
      </c>
      <c r="D209" s="96" t="s">
        <v>177</v>
      </c>
    </row>
    <row r="210" spans="1:4" ht="12.75">
      <c r="A210" s="92">
        <f>+A201+1</f>
        <v>8</v>
      </c>
      <c r="B210" s="30" t="s">
        <v>354</v>
      </c>
      <c r="C210" s="34" t="e">
        <f>SUM(C211:C217)</f>
        <v>#REF!</v>
      </c>
      <c r="D210" s="34">
        <f>SUM(D211:D217)</f>
        <v>0</v>
      </c>
    </row>
    <row r="211" spans="1:4" ht="12.75">
      <c r="A211" s="85">
        <v>1</v>
      </c>
      <c r="B211" s="90" t="s">
        <v>355</v>
      </c>
      <c r="C211" s="97" t="e">
        <f>+#REF!*0+3847340.4</f>
        <v>#REF!</v>
      </c>
      <c r="D211" s="96" t="s">
        <v>177</v>
      </c>
    </row>
    <row r="212" spans="1:4" ht="12.75">
      <c r="A212" s="85">
        <f t="shared" si="9"/>
        <v>2</v>
      </c>
      <c r="B212" s="90" t="s">
        <v>356</v>
      </c>
      <c r="C212" s="97" t="e">
        <f>+#REF!*0+44850</f>
        <v>#REF!</v>
      </c>
      <c r="D212" s="96" t="s">
        <v>177</v>
      </c>
    </row>
    <row r="213" spans="1:4" ht="12.75">
      <c r="A213" s="85">
        <f t="shared" si="9"/>
        <v>3</v>
      </c>
      <c r="B213" s="90" t="s">
        <v>357</v>
      </c>
      <c r="C213" s="97" t="e">
        <f>+#REF!*0+75819.5</f>
        <v>#REF!</v>
      </c>
      <c r="D213" s="96" t="s">
        <v>177</v>
      </c>
    </row>
    <row r="214" spans="1:4" ht="12.75">
      <c r="A214" s="85">
        <f t="shared" si="9"/>
        <v>4</v>
      </c>
      <c r="B214" s="90" t="s">
        <v>358</v>
      </c>
      <c r="C214" s="97" t="e">
        <f>+#REF!*0+193186</f>
        <v>#REF!</v>
      </c>
      <c r="D214" s="96" t="s">
        <v>177</v>
      </c>
    </row>
    <row r="215" spans="1:4" ht="12.75">
      <c r="A215" s="85">
        <f t="shared" si="9"/>
        <v>5</v>
      </c>
      <c r="B215" s="90" t="s">
        <v>495</v>
      </c>
      <c r="C215" s="97" t="e">
        <f>+#REF!*0+5399</f>
        <v>#REF!</v>
      </c>
      <c r="D215" s="96"/>
    </row>
    <row r="216" spans="1:4" ht="12.75">
      <c r="A216" s="85">
        <f t="shared" si="9"/>
        <v>6</v>
      </c>
      <c r="B216" s="90" t="s">
        <v>359</v>
      </c>
      <c r="C216" s="97" t="e">
        <f>+#REF!*0+1190</f>
        <v>#REF!</v>
      </c>
      <c r="D216" s="96" t="s">
        <v>177</v>
      </c>
    </row>
    <row r="217" spans="1:4" ht="12.75">
      <c r="A217" s="85">
        <f t="shared" si="9"/>
        <v>7</v>
      </c>
      <c r="B217" s="90" t="s">
        <v>360</v>
      </c>
      <c r="C217" s="97" t="e">
        <f>+#REF!*0+16652</f>
        <v>#REF!</v>
      </c>
      <c r="D217" s="96" t="s">
        <v>177</v>
      </c>
    </row>
    <row r="218" spans="1:4" ht="12.75">
      <c r="A218" s="92">
        <f>+A210+1</f>
        <v>9</v>
      </c>
      <c r="B218" s="89" t="s">
        <v>361</v>
      </c>
      <c r="C218" s="101" t="e">
        <f>+#REF!*0+1621094-25000</f>
        <v>#REF!</v>
      </c>
      <c r="D218" s="95" t="s">
        <v>177</v>
      </c>
    </row>
    <row r="219" spans="1:4" ht="12.75">
      <c r="A219" s="92">
        <f>+A218+1</f>
        <v>10</v>
      </c>
      <c r="B219" s="89" t="s">
        <v>362</v>
      </c>
      <c r="C219" s="101" t="e">
        <f>+#REF!*0+4346</f>
        <v>#REF!</v>
      </c>
      <c r="D219" s="101" t="e">
        <f>+#REF!</f>
        <v>#REF!</v>
      </c>
    </row>
    <row r="220" spans="1:4" ht="12.75">
      <c r="A220" s="92">
        <f>+A219+1</f>
        <v>11</v>
      </c>
      <c r="B220" s="89" t="s">
        <v>165</v>
      </c>
      <c r="C220" s="101" t="e">
        <f>+#REF!*0+224156+28168</f>
        <v>#REF!</v>
      </c>
      <c r="D220" s="95" t="s">
        <v>177</v>
      </c>
    </row>
    <row r="221" spans="1:4" ht="12.75">
      <c r="A221" s="92" t="s">
        <v>519</v>
      </c>
      <c r="B221" s="32" t="s">
        <v>363</v>
      </c>
      <c r="C221" s="33" t="e">
        <f>SUM(C222:C243)-C222</f>
        <v>#REF!</v>
      </c>
      <c r="D221" s="33">
        <f>SUM(D222:D242)-D222</f>
        <v>0</v>
      </c>
    </row>
    <row r="222" spans="1:4" ht="12.75">
      <c r="A222" s="92">
        <v>1</v>
      </c>
      <c r="B222" s="30" t="s">
        <v>364</v>
      </c>
      <c r="C222" s="34" t="e">
        <f>SUM(C223:C225)</f>
        <v>#REF!</v>
      </c>
      <c r="D222" s="34">
        <f>SUM(D223:D225)</f>
        <v>0</v>
      </c>
    </row>
    <row r="223" spans="1:6" ht="12.75">
      <c r="A223" s="85">
        <v>1</v>
      </c>
      <c r="B223" s="90" t="s">
        <v>365</v>
      </c>
      <c r="C223" s="97" t="e">
        <f>+#REF!*0+844113</f>
        <v>#REF!</v>
      </c>
      <c r="D223" s="96" t="s">
        <v>177</v>
      </c>
      <c r="F223" s="93" t="s">
        <v>410</v>
      </c>
    </row>
    <row r="224" spans="1:6" ht="12.75">
      <c r="A224" s="85">
        <f>+A223+1</f>
        <v>2</v>
      </c>
      <c r="B224" s="90" t="s">
        <v>366</v>
      </c>
      <c r="C224" s="97" t="e">
        <f>+#REF!*0+2179631</f>
        <v>#REF!</v>
      </c>
      <c r="D224" s="96" t="s">
        <v>177</v>
      </c>
      <c r="F224" s="93" t="s">
        <v>410</v>
      </c>
    </row>
    <row r="225" spans="1:6" ht="12.75">
      <c r="A225" s="85">
        <f>+A224+1</f>
        <v>3</v>
      </c>
      <c r="B225" s="90" t="s">
        <v>367</v>
      </c>
      <c r="C225" s="97" t="e">
        <f>+#REF!*0+1298657</f>
        <v>#REF!</v>
      </c>
      <c r="D225" s="96" t="s">
        <v>177</v>
      </c>
      <c r="F225" s="93" t="s">
        <v>394</v>
      </c>
    </row>
    <row r="226" spans="1:6" ht="12.75">
      <c r="A226" s="92">
        <f>+A222+1</f>
        <v>2</v>
      </c>
      <c r="B226" s="89" t="s">
        <v>368</v>
      </c>
      <c r="C226" s="101" t="e">
        <f>+#REF!*0+8000</f>
        <v>#REF!</v>
      </c>
      <c r="D226" s="95" t="s">
        <v>177</v>
      </c>
      <c r="F226" s="93" t="s">
        <v>411</v>
      </c>
    </row>
    <row r="227" spans="1:6" ht="12.75">
      <c r="A227" s="92">
        <f>+A226+1</f>
        <v>3</v>
      </c>
      <c r="B227" s="89" t="s">
        <v>369</v>
      </c>
      <c r="C227" s="101" t="e">
        <f>+#REF!*0+1066524</f>
        <v>#REF!</v>
      </c>
      <c r="D227" s="95" t="s">
        <v>177</v>
      </c>
      <c r="F227" s="93" t="s">
        <v>410</v>
      </c>
    </row>
    <row r="228" spans="1:6" ht="12.75">
      <c r="A228" s="92">
        <f aca="true" t="shared" si="10" ref="A228:A243">+A227+1</f>
        <v>4</v>
      </c>
      <c r="B228" s="89" t="s">
        <v>370</v>
      </c>
      <c r="C228" s="101" t="e">
        <f>+#REF!*0+989512</f>
        <v>#REF!</v>
      </c>
      <c r="D228" s="95" t="s">
        <v>177</v>
      </c>
      <c r="F228" s="93" t="s">
        <v>410</v>
      </c>
    </row>
    <row r="229" spans="1:7" ht="12.75">
      <c r="A229" s="92">
        <f t="shared" si="10"/>
        <v>5</v>
      </c>
      <c r="B229" s="89" t="s">
        <v>371</v>
      </c>
      <c r="C229" s="101" t="e">
        <f>+#REF!*0+12731161</f>
        <v>#REF!</v>
      </c>
      <c r="D229" s="95" t="s">
        <v>177</v>
      </c>
      <c r="F229" s="93" t="s">
        <v>410</v>
      </c>
      <c r="G229" s="93" t="s">
        <v>560</v>
      </c>
    </row>
    <row r="230" spans="1:7" ht="12.75">
      <c r="A230" s="92">
        <f t="shared" si="10"/>
        <v>6</v>
      </c>
      <c r="B230" s="89" t="s">
        <v>372</v>
      </c>
      <c r="C230" s="101" t="e">
        <f>+#REF!*0+5826256</f>
        <v>#REF!</v>
      </c>
      <c r="D230" s="95" t="s">
        <v>177</v>
      </c>
      <c r="F230" s="93" t="s">
        <v>412</v>
      </c>
      <c r="G230" s="93">
        <v>410099</v>
      </c>
    </row>
    <row r="231" spans="1:6" ht="12.75">
      <c r="A231" s="92">
        <f t="shared" si="10"/>
        <v>7</v>
      </c>
      <c r="B231" s="89" t="s">
        <v>535</v>
      </c>
      <c r="C231" s="101" t="e">
        <f>+#REF!*0+28770</f>
        <v>#REF!</v>
      </c>
      <c r="D231" s="95"/>
      <c r="F231" s="93" t="s">
        <v>412</v>
      </c>
    </row>
    <row r="232" spans="1:6" ht="12.75">
      <c r="A232" s="92">
        <f t="shared" si="10"/>
        <v>8</v>
      </c>
      <c r="B232" s="89" t="s">
        <v>373</v>
      </c>
      <c r="C232" s="101" t="e">
        <f>+#REF!*0+747569</f>
        <v>#REF!</v>
      </c>
      <c r="D232" s="95" t="s">
        <v>177</v>
      </c>
      <c r="F232" s="93" t="s">
        <v>410</v>
      </c>
    </row>
    <row r="233" spans="1:6" ht="12.75">
      <c r="A233" s="92">
        <f t="shared" si="10"/>
        <v>9</v>
      </c>
      <c r="B233" s="89" t="s">
        <v>374</v>
      </c>
      <c r="C233" s="101" t="e">
        <f>+#REF!*0+669442</f>
        <v>#REF!</v>
      </c>
      <c r="D233" s="95" t="s">
        <v>177</v>
      </c>
      <c r="F233" s="93" t="s">
        <v>410</v>
      </c>
    </row>
    <row r="234" spans="1:6" ht="12.75">
      <c r="A234" s="92">
        <f t="shared" si="10"/>
        <v>10</v>
      </c>
      <c r="B234" s="89" t="s">
        <v>375</v>
      </c>
      <c r="C234" s="101" t="e">
        <f>+#REF!*0+6889</f>
        <v>#REF!</v>
      </c>
      <c r="D234" s="95" t="s">
        <v>177</v>
      </c>
      <c r="F234" s="93" t="s">
        <v>394</v>
      </c>
    </row>
    <row r="235" spans="1:6" ht="12.75">
      <c r="A235" s="92">
        <f t="shared" si="10"/>
        <v>11</v>
      </c>
      <c r="B235" s="89" t="s">
        <v>376</v>
      </c>
      <c r="C235" s="101" t="e">
        <f>+#REF!*0+53609</f>
        <v>#REF!</v>
      </c>
      <c r="D235" s="95" t="s">
        <v>177</v>
      </c>
      <c r="F235" s="93" t="s">
        <v>394</v>
      </c>
    </row>
    <row r="236" spans="1:6" ht="12.75">
      <c r="A236" s="92">
        <f t="shared" si="10"/>
        <v>12</v>
      </c>
      <c r="B236" s="89" t="s">
        <v>377</v>
      </c>
      <c r="C236" s="101" t="e">
        <f>+#REF!*0+4069214</f>
        <v>#REF!</v>
      </c>
      <c r="D236" s="95" t="s">
        <v>177</v>
      </c>
      <c r="F236" s="93" t="s">
        <v>394</v>
      </c>
    </row>
    <row r="237" spans="1:6" ht="12.75">
      <c r="A237" s="92">
        <f t="shared" si="10"/>
        <v>13</v>
      </c>
      <c r="B237" s="89" t="s">
        <v>378</v>
      </c>
      <c r="C237" s="101" t="e">
        <f>+#REF!*0+81681</f>
        <v>#REF!</v>
      </c>
      <c r="D237" s="95" t="s">
        <v>177</v>
      </c>
      <c r="F237" s="93" t="s">
        <v>410</v>
      </c>
    </row>
    <row r="238" spans="1:6" ht="12.75">
      <c r="A238" s="92">
        <f t="shared" si="10"/>
        <v>14</v>
      </c>
      <c r="B238" s="89" t="s">
        <v>379</v>
      </c>
      <c r="C238" s="101" t="e">
        <f>+#REF!*0+80900</f>
        <v>#REF!</v>
      </c>
      <c r="D238" s="95" t="s">
        <v>177</v>
      </c>
      <c r="F238" s="93" t="s">
        <v>410</v>
      </c>
    </row>
    <row r="239" spans="1:6" ht="12.75">
      <c r="A239" s="92">
        <f t="shared" si="10"/>
        <v>15</v>
      </c>
      <c r="B239" s="89" t="s">
        <v>380</v>
      </c>
      <c r="C239" s="101" t="e">
        <f>+#REF!*0+748</f>
        <v>#REF!</v>
      </c>
      <c r="D239" s="95" t="s">
        <v>177</v>
      </c>
      <c r="F239" s="93" t="s">
        <v>394</v>
      </c>
    </row>
    <row r="240" spans="1:6" ht="12.75">
      <c r="A240" s="92">
        <f t="shared" si="10"/>
        <v>16</v>
      </c>
      <c r="B240" s="89" t="s">
        <v>496</v>
      </c>
      <c r="C240" s="101" t="e">
        <f>+#REF!*0+303699</f>
        <v>#REF!</v>
      </c>
      <c r="D240" s="95"/>
      <c r="F240" s="93" t="s">
        <v>410</v>
      </c>
    </row>
    <row r="241" spans="1:6" ht="12.75">
      <c r="A241" s="92">
        <f t="shared" si="10"/>
        <v>17</v>
      </c>
      <c r="B241" s="89" t="s">
        <v>381</v>
      </c>
      <c r="C241" s="101" t="e">
        <f>+#REF!*0+6660</f>
        <v>#REF!</v>
      </c>
      <c r="D241" s="95" t="s">
        <v>177</v>
      </c>
      <c r="F241" s="93" t="s">
        <v>411</v>
      </c>
    </row>
    <row r="242" spans="1:6" ht="12.75">
      <c r="A242" s="92">
        <f t="shared" si="10"/>
        <v>18</v>
      </c>
      <c r="B242" s="89" t="s">
        <v>382</v>
      </c>
      <c r="C242" s="101" t="e">
        <f>+#REF!*0+80096</f>
        <v>#REF!</v>
      </c>
      <c r="D242" s="95" t="s">
        <v>177</v>
      </c>
      <c r="F242" s="93" t="s">
        <v>410</v>
      </c>
    </row>
    <row r="243" spans="1:6" ht="12.75">
      <c r="A243" s="102">
        <f t="shared" si="10"/>
        <v>19</v>
      </c>
      <c r="B243" s="98" t="s">
        <v>565</v>
      </c>
      <c r="C243" s="99">
        <f>17025</f>
        <v>17025</v>
      </c>
      <c r="D243" s="100"/>
      <c r="F243" s="93" t="s">
        <v>570</v>
      </c>
    </row>
    <row r="244" spans="1:4" ht="12.75">
      <c r="A244" s="92" t="s">
        <v>520</v>
      </c>
      <c r="B244" s="32" t="s">
        <v>383</v>
      </c>
      <c r="C244" s="33" t="e">
        <f>SUM(C245:C255)-C246</f>
        <v>#REF!</v>
      </c>
      <c r="D244" s="33" t="e">
        <f>SUM(D245:D255)-D246</f>
        <v>#REF!</v>
      </c>
    </row>
    <row r="245" spans="1:6" ht="12.75">
      <c r="A245" s="92">
        <v>1</v>
      </c>
      <c r="B245" s="89" t="s">
        <v>384</v>
      </c>
      <c r="C245" s="95" t="s">
        <v>177</v>
      </c>
      <c r="D245" s="101" t="e">
        <f>+#REF!*0+41979459</f>
        <v>#REF!</v>
      </c>
      <c r="F245" s="93" t="s">
        <v>390</v>
      </c>
    </row>
    <row r="246" spans="1:6" ht="12.75">
      <c r="A246" s="92">
        <f>+A245+1</f>
        <v>2</v>
      </c>
      <c r="B246" s="30" t="s">
        <v>385</v>
      </c>
      <c r="C246" s="34">
        <f>SUM(C247:C254)</f>
        <v>0</v>
      </c>
      <c r="D246" s="34" t="e">
        <f>SUM(D247:D254)</f>
        <v>#REF!</v>
      </c>
      <c r="F246" s="93" t="s">
        <v>392</v>
      </c>
    </row>
    <row r="247" spans="1:6" ht="12.75">
      <c r="A247" s="85">
        <v>1</v>
      </c>
      <c r="B247" s="103" t="s">
        <v>403</v>
      </c>
      <c r="C247" s="104" t="s">
        <v>177</v>
      </c>
      <c r="D247" s="96" t="e">
        <f>+#REF!*0+253751</f>
        <v>#REF!</v>
      </c>
      <c r="F247" s="93" t="s">
        <v>395</v>
      </c>
    </row>
    <row r="248" spans="1:6" ht="12.75">
      <c r="A248" s="85">
        <f aca="true" t="shared" si="11" ref="A248:A254">+A247+1</f>
        <v>2</v>
      </c>
      <c r="B248" s="103" t="s">
        <v>404</v>
      </c>
      <c r="C248" s="104" t="s">
        <v>177</v>
      </c>
      <c r="D248" s="96" t="e">
        <f>+#REF!*0+1863057</f>
        <v>#REF!</v>
      </c>
      <c r="F248" s="93" t="s">
        <v>395</v>
      </c>
    </row>
    <row r="249" spans="1:6" ht="12.75">
      <c r="A249" s="85">
        <f t="shared" si="11"/>
        <v>3</v>
      </c>
      <c r="B249" s="103" t="s">
        <v>405</v>
      </c>
      <c r="C249" s="104" t="s">
        <v>177</v>
      </c>
      <c r="D249" s="96" t="e">
        <f>+#REF!*0+54971</f>
        <v>#REF!</v>
      </c>
      <c r="F249" s="93" t="s">
        <v>395</v>
      </c>
    </row>
    <row r="250" spans="1:6" ht="12.75">
      <c r="A250" s="85">
        <f t="shared" si="11"/>
        <v>4</v>
      </c>
      <c r="B250" s="103" t="s">
        <v>406</v>
      </c>
      <c r="C250" s="104" t="s">
        <v>177</v>
      </c>
      <c r="D250" s="96" t="e">
        <f>+#REF!*0+2155403</f>
        <v>#REF!</v>
      </c>
      <c r="F250" s="93" t="s">
        <v>395</v>
      </c>
    </row>
    <row r="251" spans="1:6" ht="12.75">
      <c r="A251" s="85">
        <f t="shared" si="11"/>
        <v>5</v>
      </c>
      <c r="B251" s="103" t="s">
        <v>407</v>
      </c>
      <c r="C251" s="104" t="s">
        <v>177</v>
      </c>
      <c r="D251" s="96" t="e">
        <f>+#REF!*0+89715</f>
        <v>#REF!</v>
      </c>
      <c r="F251" s="93" t="s">
        <v>394</v>
      </c>
    </row>
    <row r="252" spans="1:6" ht="12.75">
      <c r="A252" s="85">
        <f t="shared" si="11"/>
        <v>6</v>
      </c>
      <c r="B252" s="105" t="s">
        <v>564</v>
      </c>
      <c r="C252" s="106"/>
      <c r="D252" s="100">
        <v>523142</v>
      </c>
      <c r="F252" s="93" t="s">
        <v>394</v>
      </c>
    </row>
    <row r="253" spans="1:6" ht="12.75">
      <c r="A253" s="85">
        <f t="shared" si="11"/>
        <v>7</v>
      </c>
      <c r="B253" s="103" t="s">
        <v>408</v>
      </c>
      <c r="C253" s="104" t="s">
        <v>177</v>
      </c>
      <c r="D253" s="96" t="e">
        <f>+#REF!*0+121969</f>
        <v>#REF!</v>
      </c>
      <c r="F253" s="93" t="s">
        <v>394</v>
      </c>
    </row>
    <row r="254" spans="1:6" ht="12.75">
      <c r="A254" s="85">
        <f t="shared" si="11"/>
        <v>8</v>
      </c>
      <c r="B254" s="103" t="s">
        <v>409</v>
      </c>
      <c r="C254" s="104" t="s">
        <v>177</v>
      </c>
      <c r="D254" s="96" t="e">
        <f>+#REF!*0+1940451</f>
        <v>#REF!</v>
      </c>
      <c r="F254" s="93" t="s">
        <v>394</v>
      </c>
    </row>
    <row r="255" spans="1:6" ht="12.75">
      <c r="A255" s="92">
        <f>+A246+1</f>
        <v>3</v>
      </c>
      <c r="B255" s="89" t="s">
        <v>386</v>
      </c>
      <c r="C255" s="101" t="e">
        <f>+#REF!*0+516967</f>
        <v>#REF!</v>
      </c>
      <c r="D255" s="95" t="s">
        <v>177</v>
      </c>
      <c r="F255" s="93" t="s">
        <v>390</v>
      </c>
    </row>
    <row r="256" spans="1:4" ht="12.75">
      <c r="A256" s="92" t="s">
        <v>521</v>
      </c>
      <c r="B256" s="32" t="s">
        <v>105</v>
      </c>
      <c r="C256" s="33"/>
      <c r="D256" s="33">
        <v>33224487.76</v>
      </c>
    </row>
    <row r="257" spans="2:4" ht="12.75" customHeight="1">
      <c r="B257" s="94"/>
      <c r="C257" s="35"/>
      <c r="D257" s="35"/>
    </row>
    <row r="258" spans="2:4" ht="12.75">
      <c r="B258" s="30" t="s">
        <v>387</v>
      </c>
      <c r="C258" s="35" t="e">
        <f>+C7+C28+C42+C79+C99+C113+C145+C158+C162+C221+C244+C256</f>
        <v>#REF!</v>
      </c>
      <c r="D258" s="35" t="e">
        <f>+D7+D28+D42+D79+D99+D113+D145+D158+D162+D221+D244+D256</f>
        <v>#REF!</v>
      </c>
    </row>
    <row r="259" ht="12.75">
      <c r="C259" s="93" t="e">
        <f>+C258-D258</f>
        <v>#REF!</v>
      </c>
    </row>
    <row r="262" ht="12.75">
      <c r="B262" s="26" t="s">
        <v>454</v>
      </c>
    </row>
    <row r="264" spans="2:3" ht="12.75">
      <c r="B264" s="93" t="s">
        <v>36</v>
      </c>
      <c r="C264" s="93">
        <v>956933</v>
      </c>
    </row>
    <row r="265" spans="2:3" ht="12.75">
      <c r="B265" s="93" t="s">
        <v>140</v>
      </c>
      <c r="C265" s="93">
        <v>2799066</v>
      </c>
    </row>
    <row r="266" spans="2:3" ht="12.75">
      <c r="B266" s="93" t="s">
        <v>459</v>
      </c>
      <c r="C266" s="93">
        <f>1791193*0.8</f>
        <v>1432954.4000000001</v>
      </c>
    </row>
    <row r="267" spans="2:3" ht="12.75">
      <c r="B267" s="93" t="s">
        <v>456</v>
      </c>
      <c r="C267" s="93">
        <f>+(11120150+380512)</f>
        <v>11500662</v>
      </c>
    </row>
    <row r="268" spans="2:4" ht="12.75">
      <c r="B268" s="93" t="s">
        <v>455</v>
      </c>
      <c r="C268" s="93">
        <f>12092000*0+8000000</f>
        <v>8000000</v>
      </c>
      <c r="D268" s="93">
        <f>SUM(C264:C268)</f>
        <v>24689615.4</v>
      </c>
    </row>
    <row r="270" ht="12.75">
      <c r="B270" s="26" t="s">
        <v>457</v>
      </c>
    </row>
    <row r="272" spans="2:3" ht="12.75">
      <c r="B272" s="93" t="s">
        <v>36</v>
      </c>
      <c r="C272" s="93">
        <v>2928729</v>
      </c>
    </row>
    <row r="273" spans="2:4" ht="12.75">
      <c r="B273" s="93" t="s">
        <v>140</v>
      </c>
      <c r="C273" s="93">
        <v>1175260</v>
      </c>
      <c r="D273" s="93">
        <f>SUM(C272:C273)-SUM(C264:C265)</f>
        <v>347990</v>
      </c>
    </row>
    <row r="274" spans="2:3" ht="12.75">
      <c r="B274" s="93" t="s">
        <v>459</v>
      </c>
      <c r="C274" s="93">
        <f>6112936*0.8</f>
        <v>4890348.8</v>
      </c>
    </row>
    <row r="275" spans="2:3" ht="12.75">
      <c r="B275" s="93" t="s">
        <v>456</v>
      </c>
      <c r="C275" s="93">
        <f>20498953*0.8</f>
        <v>16399162.4</v>
      </c>
    </row>
    <row r="276" spans="2:5" ht="12.75">
      <c r="B276" s="93" t="s">
        <v>455</v>
      </c>
      <c r="C276" s="93">
        <f>9088000*0+C268-3200000</f>
        <v>4800000</v>
      </c>
      <c r="D276" s="93">
        <f>SUM(C272:C276)</f>
        <v>30193500.200000003</v>
      </c>
      <c r="E276" s="93">
        <f>+D268-D276</f>
        <v>-5503884.8000000045</v>
      </c>
    </row>
    <row r="278" ht="12.75">
      <c r="B278" s="26" t="s">
        <v>458</v>
      </c>
    </row>
    <row r="280" spans="2:3" ht="12.75">
      <c r="B280" s="93" t="s">
        <v>36</v>
      </c>
      <c r="C280" s="93">
        <v>3220560</v>
      </c>
    </row>
    <row r="281" spans="2:3" ht="12.75">
      <c r="B281" s="93" t="s">
        <v>140</v>
      </c>
      <c r="C281" s="93">
        <v>1786899</v>
      </c>
    </row>
    <row r="282" spans="2:3" ht="12.75">
      <c r="B282" s="93" t="s">
        <v>459</v>
      </c>
      <c r="C282" s="93">
        <f>4323550*0.8-500000</f>
        <v>2958840</v>
      </c>
    </row>
    <row r="283" spans="2:3" ht="12.75">
      <c r="B283" s="93" t="s">
        <v>456</v>
      </c>
      <c r="C283" s="93">
        <f>17873366*0.8-1000000</f>
        <v>13298692.8</v>
      </c>
    </row>
    <row r="284" spans="2:6" ht="12.75">
      <c r="B284" s="93" t="s">
        <v>455</v>
      </c>
      <c r="C284" s="93">
        <f>5448000*0+C276-500000</f>
        <v>4300000</v>
      </c>
      <c r="D284" s="93">
        <f>SUM(C280:C284)</f>
        <v>25564991.8</v>
      </c>
      <c r="E284" s="93">
        <f>+D276-D284</f>
        <v>4628508.400000002</v>
      </c>
      <c r="F284" s="93">
        <f>+D268-D284</f>
        <v>-875376.4000000022</v>
      </c>
    </row>
    <row r="286" ht="12.75">
      <c r="B286" s="26" t="s">
        <v>508</v>
      </c>
    </row>
    <row r="288" spans="2:3" ht="12.75">
      <c r="B288" s="93" t="s">
        <v>36</v>
      </c>
      <c r="C288" s="93">
        <f>3845960</f>
        <v>3845960</v>
      </c>
    </row>
    <row r="289" spans="2:3" ht="12.75">
      <c r="B289" s="93" t="s">
        <v>140</v>
      </c>
      <c r="C289" s="93">
        <v>1523527</v>
      </c>
    </row>
    <row r="290" spans="2:3" ht="12.75">
      <c r="B290" s="93" t="s">
        <v>459</v>
      </c>
      <c r="C290" s="93">
        <f>2059694-1000000</f>
        <v>1059694</v>
      </c>
    </row>
    <row r="291" spans="2:3" ht="12.75">
      <c r="B291" s="93" t="s">
        <v>456</v>
      </c>
      <c r="C291" s="93">
        <f>21209979*0.8-3000000</f>
        <v>13967983.2</v>
      </c>
    </row>
    <row r="292" spans="2:6" ht="12.75">
      <c r="B292" s="93" t="s">
        <v>455</v>
      </c>
      <c r="C292" s="107">
        <f>5037833*0+C284-500000</f>
        <v>3800000</v>
      </c>
      <c r="D292" s="93">
        <f>SUM(C288:C292)</f>
        <v>24197164.2</v>
      </c>
      <c r="E292" s="93">
        <f>+D284-D292</f>
        <v>1367827.6000000015</v>
      </c>
      <c r="F292" s="93">
        <f>+D268-D292</f>
        <v>492451.19999999925</v>
      </c>
    </row>
    <row r="293" ht="12.75">
      <c r="C293" s="107"/>
    </row>
    <row r="294" ht="12.75">
      <c r="B294" s="26" t="s">
        <v>551</v>
      </c>
    </row>
    <row r="296" spans="2:3" ht="12.75">
      <c r="B296" s="93" t="s">
        <v>36</v>
      </c>
      <c r="C296" s="93">
        <f>3259994+300000+54637</f>
        <v>3614631</v>
      </c>
    </row>
    <row r="297" spans="2:3" ht="12.75">
      <c r="B297" s="93" t="s">
        <v>140</v>
      </c>
      <c r="C297" s="93">
        <v>1812693</v>
      </c>
    </row>
    <row r="298" spans="2:3" ht="12.75">
      <c r="B298" s="93" t="s">
        <v>459</v>
      </c>
      <c r="C298" s="93">
        <v>236126</v>
      </c>
    </row>
    <row r="299" spans="2:3" ht="12.75">
      <c r="B299" s="93" t="s">
        <v>456</v>
      </c>
      <c r="C299" s="93">
        <f>20917143*0.8-1500000</f>
        <v>15233714.4</v>
      </c>
    </row>
    <row r="300" spans="2:6" ht="12.75">
      <c r="B300" s="93" t="s">
        <v>455</v>
      </c>
      <c r="C300" s="107">
        <f>5037833*0+C292-500000</f>
        <v>3300000</v>
      </c>
      <c r="D300" s="93">
        <f>SUM(C296:C300)</f>
        <v>24197164.4</v>
      </c>
      <c r="E300" s="93">
        <f>+D292-D300</f>
        <v>-0.19999999925494194</v>
      </c>
      <c r="F300" s="93">
        <f>+D276-D300</f>
        <v>5996335.8000000045</v>
      </c>
    </row>
    <row r="302" ht="12.75">
      <c r="B302" s="26" t="s">
        <v>552</v>
      </c>
    </row>
    <row r="304" spans="2:3" ht="12.75">
      <c r="B304" s="93" t="s">
        <v>36</v>
      </c>
      <c r="C304" s="93">
        <f>5234583-1000000*0</f>
        <v>5234583</v>
      </c>
    </row>
    <row r="305" spans="2:3" ht="12.75">
      <c r="B305" s="93" t="s">
        <v>140</v>
      </c>
      <c r="C305" s="93">
        <v>2892209</v>
      </c>
    </row>
    <row r="306" spans="2:3" ht="12.75">
      <c r="B306" s="93" t="s">
        <v>459</v>
      </c>
      <c r="C306" s="93">
        <f>1318687</f>
        <v>1318687</v>
      </c>
    </row>
    <row r="307" spans="2:3" ht="12.75">
      <c r="B307" s="93" t="s">
        <v>456</v>
      </c>
      <c r="C307" s="93">
        <f>23306556*0.8-3000000+1000000+500000</f>
        <v>17145244.8</v>
      </c>
    </row>
    <row r="308" spans="2:6" ht="12.75">
      <c r="B308" s="93" t="s">
        <v>455</v>
      </c>
      <c r="C308" s="107">
        <f>7134928*0+C300-500000</f>
        <v>2800000</v>
      </c>
      <c r="D308" s="93">
        <f>SUM(C304:C308)</f>
        <v>29390723.8</v>
      </c>
      <c r="E308" s="93">
        <f>+D300-D308</f>
        <v>-5193559.400000002</v>
      </c>
      <c r="F308" s="93">
        <f>+D284-D308</f>
        <v>-3825732</v>
      </c>
    </row>
    <row r="310" ht="12.75">
      <c r="B310" s="26" t="s">
        <v>572</v>
      </c>
    </row>
    <row r="312" spans="2:3" ht="12.75">
      <c r="B312" s="93" t="s">
        <v>36</v>
      </c>
      <c r="C312" s="93">
        <v>4542907</v>
      </c>
    </row>
    <row r="313" spans="2:3" ht="12.75">
      <c r="B313" s="93" t="s">
        <v>140</v>
      </c>
      <c r="C313" s="93">
        <f>2350612+400000</f>
        <v>2750612</v>
      </c>
    </row>
    <row r="314" spans="2:3" ht="12.75">
      <c r="B314" s="93" t="s">
        <v>459</v>
      </c>
      <c r="C314" s="93">
        <f>4144278-1600000</f>
        <v>2544278</v>
      </c>
    </row>
    <row r="315" spans="2:3" ht="12.75">
      <c r="B315" s="93" t="s">
        <v>456</v>
      </c>
      <c r="C315" s="93">
        <f>(25721645-1900000)*0.8-2500000</f>
        <v>16557316</v>
      </c>
    </row>
    <row r="316" spans="2:6" ht="12.75">
      <c r="B316" s="93" t="s">
        <v>455</v>
      </c>
      <c r="C316" s="107">
        <f>(6707019-400000)*0+2800000</f>
        <v>2800000</v>
      </c>
      <c r="D316" s="93">
        <f>SUM(C312:C316)</f>
        <v>29195113</v>
      </c>
      <c r="E316" s="93">
        <f>+D308-D316</f>
        <v>195610.80000000075</v>
      </c>
      <c r="F316" s="93">
        <f>+D292-D316</f>
        <v>-4997948.800000001</v>
      </c>
    </row>
  </sheetData>
  <mergeCells count="3">
    <mergeCell ref="B1:D1"/>
    <mergeCell ref="B2:D2"/>
    <mergeCell ref="B3:D3"/>
  </mergeCells>
  <printOptions headings="1"/>
  <pageMargins left="0.75" right="0.75" top="0.71" bottom="1" header="0.5" footer="0.5"/>
  <pageSetup horizontalDpi="300" verticalDpi="300" orientation="portrait" scale="81" r:id="rId1"/>
  <rowBreaks count="3" manualBreakCount="3">
    <brk id="65" min="1" max="3" man="1"/>
    <brk id="132" min="1" max="3" man="1"/>
    <brk id="200" min="1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C2">
      <selection activeCell="J21" sqref="J21"/>
    </sheetView>
  </sheetViews>
  <sheetFormatPr defaultColWidth="9.140625" defaultRowHeight="12.75"/>
  <cols>
    <col min="2" max="2" width="35.00390625" style="0" bestFit="1" customWidth="1"/>
    <col min="7" max="7" width="13.8515625" style="0" bestFit="1" customWidth="1"/>
    <col min="8" max="8" width="14.140625" style="0" customWidth="1"/>
    <col min="9" max="9" width="13.7109375" style="0" customWidth="1"/>
    <col min="10" max="10" width="9.421875" style="0" bestFit="1" customWidth="1"/>
  </cols>
  <sheetData>
    <row r="2" ht="12.75">
      <c r="B2" s="6" t="s">
        <v>764</v>
      </c>
    </row>
    <row r="3" ht="12.75">
      <c r="B3" s="135" t="s">
        <v>2</v>
      </c>
    </row>
    <row r="4" ht="12.75">
      <c r="B4" t="s">
        <v>765</v>
      </c>
    </row>
    <row r="5" ht="12.75">
      <c r="B5" t="s">
        <v>390</v>
      </c>
    </row>
    <row r="6" ht="12.75">
      <c r="B6" s="135" t="s">
        <v>0</v>
      </c>
    </row>
    <row r="7" ht="12.75">
      <c r="B7" t="s">
        <v>765</v>
      </c>
    </row>
    <row r="8" ht="12.75">
      <c r="B8" t="s">
        <v>390</v>
      </c>
    </row>
    <row r="9" spans="1:14" s="188" customFormat="1" ht="12.75">
      <c r="A9" s="193"/>
      <c r="B9" s="135" t="s">
        <v>2</v>
      </c>
      <c r="C9" s="134"/>
      <c r="D9" s="137">
        <f>SUM(D11:D13)</f>
        <v>0</v>
      </c>
      <c r="E9" s="136"/>
      <c r="F9" s="136"/>
      <c r="G9" s="137">
        <v>8022083</v>
      </c>
      <c r="H9" s="137">
        <f>SUM(H11:H13)</f>
        <v>5189849</v>
      </c>
      <c r="I9" s="137">
        <f>SUM(I11:I13)</f>
        <v>7016149</v>
      </c>
      <c r="N9" s="190">
        <f aca="true" t="shared" si="0" ref="N9:N14">+I9*0</f>
        <v>0</v>
      </c>
    </row>
    <row r="10" spans="1:14" s="188" customFormat="1" ht="12.75">
      <c r="A10" s="193"/>
      <c r="B10" s="134"/>
      <c r="C10" s="134"/>
      <c r="D10" s="136"/>
      <c r="E10" s="136"/>
      <c r="F10" s="136"/>
      <c r="G10" s="136"/>
      <c r="H10" s="136"/>
      <c r="I10" s="136"/>
      <c r="N10" s="190">
        <f t="shared" si="0"/>
        <v>0</v>
      </c>
    </row>
    <row r="11" spans="1:14" s="188" customFormat="1" ht="12.75">
      <c r="A11" s="193"/>
      <c r="B11" s="134" t="s">
        <v>36</v>
      </c>
      <c r="C11" s="134"/>
      <c r="D11" s="136">
        <v>0</v>
      </c>
      <c r="E11" s="136"/>
      <c r="F11" s="136"/>
      <c r="G11" s="136">
        <v>4746412</v>
      </c>
      <c r="H11" s="136">
        <v>5189849</v>
      </c>
      <c r="I11" s="136">
        <v>5189849</v>
      </c>
      <c r="N11" s="190">
        <f t="shared" si="0"/>
        <v>0</v>
      </c>
    </row>
    <row r="12" spans="1:14" s="188" customFormat="1" ht="12.75">
      <c r="A12" s="193"/>
      <c r="B12" s="134" t="s">
        <v>37</v>
      </c>
      <c r="C12" s="134"/>
      <c r="D12" s="136">
        <v>0</v>
      </c>
      <c r="E12" s="136"/>
      <c r="F12" s="136"/>
      <c r="G12" s="136">
        <v>3275671</v>
      </c>
      <c r="H12" s="136">
        <f>+D24</f>
        <v>0</v>
      </c>
      <c r="I12" s="136">
        <v>1826300</v>
      </c>
      <c r="N12" s="190">
        <f t="shared" si="0"/>
        <v>0</v>
      </c>
    </row>
    <row r="13" spans="1:14" s="188" customFormat="1" ht="12.75">
      <c r="A13" s="193"/>
      <c r="B13" s="134" t="s">
        <v>166</v>
      </c>
      <c r="C13" s="134"/>
      <c r="D13" s="136">
        <v>0</v>
      </c>
      <c r="E13" s="136"/>
      <c r="F13" s="136"/>
      <c r="G13" s="136">
        <v>0</v>
      </c>
      <c r="H13" s="136">
        <f>+D25</f>
        <v>0</v>
      </c>
      <c r="I13" s="136">
        <f>+D13</f>
        <v>0</v>
      </c>
      <c r="J13" s="192"/>
      <c r="N13" s="190">
        <f t="shared" si="0"/>
        <v>0</v>
      </c>
    </row>
    <row r="14" spans="1:14" s="188" customFormat="1" ht="12.75">
      <c r="A14" s="193"/>
      <c r="B14" s="134"/>
      <c r="C14" s="134"/>
      <c r="D14" s="136"/>
      <c r="E14" s="136"/>
      <c r="F14" s="136"/>
      <c r="G14" s="136"/>
      <c r="H14" s="136"/>
      <c r="I14" s="136"/>
      <c r="N14" s="190">
        <f t="shared" si="0"/>
        <v>0</v>
      </c>
    </row>
    <row r="15" spans="1:14" s="188" customFormat="1" ht="12.75">
      <c r="A15" s="135" t="s">
        <v>40</v>
      </c>
      <c r="B15" s="135" t="s">
        <v>172</v>
      </c>
      <c r="C15" s="134"/>
      <c r="D15" s="137">
        <f>SUM(D17:D19)</f>
        <v>0</v>
      </c>
      <c r="E15" s="136"/>
      <c r="F15" s="136"/>
      <c r="G15" s="137">
        <v>3965838.5</v>
      </c>
      <c r="H15" s="137">
        <f>SUM(H17:H19)</f>
        <v>2072247</v>
      </c>
      <c r="I15" s="137">
        <f>SUM(I17:I19)</f>
        <v>2072247</v>
      </c>
      <c r="N15" s="137">
        <f>SUM(N17:N19)</f>
        <v>2072247</v>
      </c>
    </row>
    <row r="16" spans="1:14" s="188" customFormat="1" ht="12.75">
      <c r="A16" s="193"/>
      <c r="B16" s="134"/>
      <c r="C16" s="134"/>
      <c r="D16" s="136"/>
      <c r="E16" s="136"/>
      <c r="F16" s="136"/>
      <c r="G16" s="136"/>
      <c r="H16" s="136"/>
      <c r="I16" s="136"/>
      <c r="N16" s="190">
        <f>+I16</f>
        <v>0</v>
      </c>
    </row>
    <row r="17" spans="1:14" s="188" customFormat="1" ht="12.75">
      <c r="A17" s="193"/>
      <c r="B17" s="134" t="s">
        <v>36</v>
      </c>
      <c r="C17" s="134"/>
      <c r="D17" s="136">
        <v>0</v>
      </c>
      <c r="E17" s="136"/>
      <c r="F17" s="136"/>
      <c r="G17" s="136">
        <v>1640371</v>
      </c>
      <c r="H17" s="136">
        <f>+I17-D17</f>
        <v>1173154</v>
      </c>
      <c r="I17" s="136">
        <f>+'TB-New'!C42+'TB-New'!C45+('TB-New'!C53-'TB-New'!D53)+('TB-New'!C149-'TB-New'!D149)-'TB-New'!D160+'TB-New'!C75-'TB-New'!D37</f>
        <v>1173154</v>
      </c>
      <c r="K17" s="189"/>
      <c r="L17" s="191"/>
      <c r="M17" s="191"/>
      <c r="N17" s="190">
        <f>+I17</f>
        <v>1173154</v>
      </c>
    </row>
    <row r="18" spans="1:14" s="188" customFormat="1" ht="12.75">
      <c r="A18" s="193"/>
      <c r="B18" s="134" t="s">
        <v>37</v>
      </c>
      <c r="C18" s="134"/>
      <c r="D18" s="136">
        <v>0</v>
      </c>
      <c r="E18" s="136"/>
      <c r="F18" s="136"/>
      <c r="G18" s="136">
        <v>903480.5</v>
      </c>
      <c r="H18" s="136">
        <f>+I18-D18</f>
        <v>899093</v>
      </c>
      <c r="I18" s="136">
        <f>'TB-New'!C44+'TB-New'!C40+('TB-New'!C52-'TB-New'!D52)+'TB-New'!C69+'TB-New'!C145+('TB-New'!C148-'TB-New'!D148)-'TB-New'!D159</f>
        <v>899093</v>
      </c>
      <c r="K18" s="189"/>
      <c r="L18" s="189"/>
      <c r="M18" s="189"/>
      <c r="N18" s="190">
        <f>+I18</f>
        <v>899093</v>
      </c>
    </row>
    <row r="19" spans="1:14" s="188" customFormat="1" ht="12.75">
      <c r="A19" s="193"/>
      <c r="B19" s="134" t="s">
        <v>561</v>
      </c>
      <c r="C19" s="134"/>
      <c r="D19" s="136">
        <v>0</v>
      </c>
      <c r="E19" s="136"/>
      <c r="F19" s="136"/>
      <c r="G19" s="136">
        <v>1421987</v>
      </c>
      <c r="H19" s="136">
        <f>+I19-D19</f>
        <v>0</v>
      </c>
      <c r="I19" s="136">
        <f>'TB-New'!C54-'TB-New'!D54+'TB-New'!C39+'TB-New'!C151+'TB-New'!C154</f>
        <v>0</v>
      </c>
      <c r="J19" s="188" t="s">
        <v>673</v>
      </c>
      <c r="K19" s="189"/>
      <c r="L19" s="189"/>
      <c r="M19" s="189"/>
      <c r="N19" s="190">
        <f>+I19</f>
        <v>0</v>
      </c>
    </row>
    <row r="20" spans="1:14" s="188" customFormat="1" ht="12.75">
      <c r="A20" s="193"/>
      <c r="B20" s="134"/>
      <c r="C20" s="134"/>
      <c r="D20" s="136"/>
      <c r="E20" s="136"/>
      <c r="F20" s="136"/>
      <c r="G20" s="136"/>
      <c r="H20" s="136"/>
      <c r="I20" s="136"/>
      <c r="K20" s="189"/>
      <c r="L20" s="189"/>
      <c r="M20" s="189"/>
      <c r="N20" s="190"/>
    </row>
    <row r="21" spans="1:14" s="188" customFormat="1" ht="12.75">
      <c r="A21" s="135" t="s">
        <v>41</v>
      </c>
      <c r="B21" s="135" t="s">
        <v>0</v>
      </c>
      <c r="C21" s="134"/>
      <c r="D21" s="137">
        <f>SUM(D23:D25)</f>
        <v>0</v>
      </c>
      <c r="E21" s="136"/>
      <c r="F21" s="136"/>
      <c r="G21" s="137">
        <v>8122083</v>
      </c>
      <c r="H21" s="137">
        <f>SUM(H23:H25)</f>
        <v>6582617</v>
      </c>
      <c r="I21" s="137">
        <f>SUM(I23:I25)</f>
        <v>6582617</v>
      </c>
      <c r="J21" s="188">
        <f>+I9-I21</f>
        <v>433532</v>
      </c>
      <c r="K21" s="191"/>
      <c r="L21" s="189"/>
      <c r="M21" s="189"/>
      <c r="N21" s="190">
        <f>+I21*0</f>
        <v>0</v>
      </c>
    </row>
    <row r="22" spans="1:14" s="188" customFormat="1" ht="12.75">
      <c r="A22" s="193"/>
      <c r="B22" s="135"/>
      <c r="C22" s="134"/>
      <c r="D22" s="136"/>
      <c r="E22" s="136"/>
      <c r="F22" s="136"/>
      <c r="G22" s="136"/>
      <c r="H22" s="136"/>
      <c r="I22" s="136"/>
      <c r="K22" s="189"/>
      <c r="L22" s="189"/>
      <c r="M22" s="189"/>
      <c r="N22" s="190">
        <f>+I22</f>
        <v>0</v>
      </c>
    </row>
    <row r="23" spans="1:14" s="188" customFormat="1" ht="12.75">
      <c r="A23" s="193"/>
      <c r="B23" s="134" t="s">
        <v>36</v>
      </c>
      <c r="C23" s="134"/>
      <c r="D23" s="136">
        <v>0</v>
      </c>
      <c r="E23" s="136"/>
      <c r="F23" s="136"/>
      <c r="G23" s="136">
        <v>4946412</v>
      </c>
      <c r="H23" s="136">
        <f>+I23</f>
        <v>5020979</v>
      </c>
      <c r="I23" s="136">
        <v>5020979</v>
      </c>
      <c r="K23" s="189"/>
      <c r="L23" s="189"/>
      <c r="M23" s="189"/>
      <c r="N23" s="190">
        <f>+I23*0</f>
        <v>0</v>
      </c>
    </row>
    <row r="24" spans="1:14" s="188" customFormat="1" ht="12.75">
      <c r="A24" s="193"/>
      <c r="B24" s="134" t="s">
        <v>37</v>
      </c>
      <c r="C24" s="134"/>
      <c r="D24" s="136">
        <v>0</v>
      </c>
      <c r="E24" s="136"/>
      <c r="F24" s="136"/>
      <c r="G24" s="136">
        <v>3175671</v>
      </c>
      <c r="H24" s="136">
        <f>+I24</f>
        <v>1561638</v>
      </c>
      <c r="I24" s="136">
        <v>1561638</v>
      </c>
      <c r="N24" s="190">
        <f>+I24*0</f>
        <v>0</v>
      </c>
    </row>
    <row r="25" spans="1:14" s="188" customFormat="1" ht="12.75">
      <c r="A25" s="193"/>
      <c r="B25" s="134" t="s">
        <v>38</v>
      </c>
      <c r="C25" s="134"/>
      <c r="D25" s="136">
        <f>+'[4]PL..'!J61</f>
        <v>0</v>
      </c>
      <c r="E25" s="136"/>
      <c r="F25" s="136"/>
      <c r="G25" s="136">
        <v>0</v>
      </c>
      <c r="H25" s="136">
        <f>+I25-D25</f>
        <v>0</v>
      </c>
      <c r="I25" s="136">
        <v>0</v>
      </c>
      <c r="N25" s="190">
        <f>+I25*0</f>
        <v>0</v>
      </c>
    </row>
    <row r="26" spans="1:14" s="188" customFormat="1" ht="12.75">
      <c r="A26" s="193"/>
      <c r="B26" s="134"/>
      <c r="C26" s="134"/>
      <c r="D26" s="136"/>
      <c r="E26" s="136"/>
      <c r="F26" s="136"/>
      <c r="G26" s="136"/>
      <c r="H26" s="136"/>
      <c r="I26" s="136"/>
      <c r="N26" s="190">
        <f>+I26</f>
        <v>0</v>
      </c>
    </row>
    <row r="27" spans="2:9" ht="12.75">
      <c r="B27" s="135" t="s">
        <v>0</v>
      </c>
      <c r="C27" s="134"/>
      <c r="D27" s="137">
        <v>0</v>
      </c>
      <c r="E27" s="136"/>
      <c r="F27" s="136"/>
      <c r="G27" s="137">
        <v>8122083</v>
      </c>
      <c r="H27" s="137">
        <v>0</v>
      </c>
      <c r="I27" s="137">
        <f>+I11+I17-I23</f>
        <v>1342024</v>
      </c>
    </row>
    <row r="28" spans="2:9" ht="12.75">
      <c r="B28" s="135"/>
      <c r="C28" s="134"/>
      <c r="D28" s="136"/>
      <c r="E28" s="136"/>
      <c r="F28" s="136"/>
      <c r="G28" s="136"/>
      <c r="H28" s="136"/>
      <c r="I28" s="137">
        <f>+I12+I18-I24</f>
        <v>1163755</v>
      </c>
    </row>
    <row r="29" spans="2:9" ht="12.75">
      <c r="B29" s="134" t="s">
        <v>36</v>
      </c>
      <c r="C29" s="134"/>
      <c r="D29" s="136">
        <v>0</v>
      </c>
      <c r="E29" s="136"/>
      <c r="F29" s="136"/>
      <c r="G29" s="136">
        <v>4946412</v>
      </c>
      <c r="H29" s="136">
        <f>+I29</f>
        <v>5020979</v>
      </c>
      <c r="I29" s="136">
        <v>5020979</v>
      </c>
    </row>
    <row r="30" spans="2:9" ht="12.75">
      <c r="B30" s="134" t="s">
        <v>37</v>
      </c>
      <c r="C30" s="134"/>
      <c r="D30" s="136">
        <v>0</v>
      </c>
      <c r="E30" s="136"/>
      <c r="F30" s="136"/>
      <c r="G30" s="136">
        <v>3175671</v>
      </c>
      <c r="H30" s="136">
        <f>+I30</f>
        <v>0</v>
      </c>
      <c r="I30" s="136">
        <v>0</v>
      </c>
    </row>
    <row r="31" spans="2:9" ht="12.75">
      <c r="B31" s="134" t="s">
        <v>38</v>
      </c>
      <c r="C31" s="134"/>
      <c r="D31" s="136" t="e">
        <f>+'[4]PL..'!J67</f>
        <v>#REF!</v>
      </c>
      <c r="E31" s="136"/>
      <c r="F31" s="136"/>
      <c r="G31" s="136">
        <v>0</v>
      </c>
      <c r="H31" s="136"/>
      <c r="I31" s="136"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9"/>
  <sheetViews>
    <sheetView workbookViewId="0" topLeftCell="A9">
      <selection activeCell="E27" sqref="E27"/>
    </sheetView>
  </sheetViews>
  <sheetFormatPr defaultColWidth="9.140625" defaultRowHeight="12.75"/>
  <cols>
    <col min="1" max="1" width="2.7109375" style="126" bestFit="1" customWidth="1"/>
    <col min="2" max="2" width="37.8515625" style="0" bestFit="1" customWidth="1"/>
    <col min="3" max="3" width="15.421875" style="0" bestFit="1" customWidth="1"/>
    <col min="4" max="4" width="14.8515625" style="0" bestFit="1" customWidth="1"/>
    <col min="5" max="5" width="15.00390625" style="0" bestFit="1" customWidth="1"/>
    <col min="6" max="6" width="14.00390625" style="0" customWidth="1"/>
  </cols>
  <sheetData>
    <row r="1" spans="2:4" ht="12.75">
      <c r="B1" s="898" t="s">
        <v>174</v>
      </c>
      <c r="C1" s="898"/>
      <c r="D1" s="898"/>
    </row>
    <row r="2" spans="2:4" ht="12.75">
      <c r="B2" s="899" t="s">
        <v>175</v>
      </c>
      <c r="C2" s="899"/>
      <c r="D2" s="899"/>
    </row>
    <row r="3" spans="2:4" ht="12.75">
      <c r="B3" s="899" t="s">
        <v>752</v>
      </c>
      <c r="C3" s="899"/>
      <c r="D3" s="899"/>
    </row>
    <row r="4" spans="2:4" ht="12.75">
      <c r="B4" s="93" t="s">
        <v>177</v>
      </c>
      <c r="C4" s="93" t="s">
        <v>177</v>
      </c>
      <c r="D4" s="93"/>
    </row>
    <row r="5" spans="2:4" ht="12.75">
      <c r="B5" s="30" t="s">
        <v>178</v>
      </c>
      <c r="C5" s="31" t="s">
        <v>179</v>
      </c>
      <c r="D5" s="31" t="s">
        <v>180</v>
      </c>
    </row>
    <row r="6" spans="2:4" ht="12.75">
      <c r="B6" s="30"/>
      <c r="C6" s="31"/>
      <c r="D6" s="31"/>
    </row>
    <row r="7" spans="1:4" ht="12.75">
      <c r="A7" s="127" t="s">
        <v>418</v>
      </c>
      <c r="B7" s="116" t="s">
        <v>574</v>
      </c>
      <c r="C7" s="117">
        <f>SUM(C8:C16)</f>
        <v>1506474</v>
      </c>
      <c r="D7" s="117">
        <f>SUM(D8:D16)-D8</f>
        <v>17244639.34</v>
      </c>
    </row>
    <row r="8" spans="1:4" ht="12.75">
      <c r="A8" s="127">
        <v>1</v>
      </c>
      <c r="B8" s="8" t="s">
        <v>575</v>
      </c>
      <c r="C8" s="115">
        <f>SUM(C9:C14)</f>
        <v>0</v>
      </c>
      <c r="D8" s="115">
        <f>SUM(D9:D14)</f>
        <v>6349481</v>
      </c>
    </row>
    <row r="9" spans="1:4" ht="12.75">
      <c r="A9" s="128">
        <v>1</v>
      </c>
      <c r="B9" s="118" t="s">
        <v>576</v>
      </c>
      <c r="C9" s="119">
        <f>+TBnew!B3</f>
        <v>0</v>
      </c>
      <c r="D9" s="119">
        <f>+TBnew!C3</f>
        <v>200213</v>
      </c>
    </row>
    <row r="10" spans="1:4" ht="12.75">
      <c r="A10" s="128">
        <f>+A9+1</f>
        <v>2</v>
      </c>
      <c r="B10" s="118" t="s">
        <v>199</v>
      </c>
      <c r="C10" s="119">
        <f>+TBnew!B4</f>
        <v>0</v>
      </c>
      <c r="D10" s="119">
        <f>+TBnew!C4</f>
        <v>2188000</v>
      </c>
    </row>
    <row r="11" spans="1:7" ht="12.75">
      <c r="A11" s="128">
        <f>+A10+1</f>
        <v>3</v>
      </c>
      <c r="B11" s="118" t="s">
        <v>577</v>
      </c>
      <c r="C11" s="119">
        <f>+TBnew!B5</f>
        <v>0</v>
      </c>
      <c r="D11" s="119">
        <f>+TBnew!C5</f>
        <v>3425</v>
      </c>
      <c r="F11">
        <v>18452</v>
      </c>
      <c r="G11" t="s">
        <v>672</v>
      </c>
    </row>
    <row r="12" spans="1:4" ht="12.75">
      <c r="A12" s="128">
        <f>+A11+1</f>
        <v>4</v>
      </c>
      <c r="B12" s="118" t="s">
        <v>200</v>
      </c>
      <c r="C12" s="119">
        <f>+TBnew!B6</f>
        <v>0</v>
      </c>
      <c r="D12" s="119">
        <f>+TBnew!C6</f>
        <v>3566283</v>
      </c>
    </row>
    <row r="13" spans="1:4" ht="12.75">
      <c r="A13" s="128">
        <f>+A12+1</f>
        <v>5</v>
      </c>
      <c r="B13" s="196" t="s">
        <v>735</v>
      </c>
      <c r="C13" s="119">
        <f>+TBnew!B8</f>
        <v>0</v>
      </c>
      <c r="D13" s="119">
        <f>+TBnew!C7</f>
        <v>279560</v>
      </c>
    </row>
    <row r="14" spans="1:4" ht="12.75">
      <c r="A14" s="128">
        <f>+A13+1</f>
        <v>6</v>
      </c>
      <c r="B14" s="118" t="s">
        <v>578</v>
      </c>
      <c r="C14" s="119">
        <f>+TBnew!B8</f>
        <v>0</v>
      </c>
      <c r="D14" s="119">
        <f>+TBnew!C8</f>
        <v>112000</v>
      </c>
    </row>
    <row r="15" spans="1:4" ht="12.75">
      <c r="A15" s="127">
        <v>2</v>
      </c>
      <c r="B15" s="8" t="s">
        <v>579</v>
      </c>
      <c r="C15" s="115">
        <f>+TBnew!B9</f>
        <v>0</v>
      </c>
      <c r="D15" s="115">
        <f>+TBnew!C9</f>
        <v>462727.97</v>
      </c>
    </row>
    <row r="16" spans="1:4" ht="12.75">
      <c r="A16" s="127">
        <v>3</v>
      </c>
      <c r="B16" s="8" t="s">
        <v>580</v>
      </c>
      <c r="C16" s="115">
        <f>+TBnew!B10</f>
        <v>1506474</v>
      </c>
      <c r="D16" s="115">
        <f>+TBnew!C10</f>
        <v>10432430.37</v>
      </c>
    </row>
    <row r="17" spans="1:4" ht="12.75">
      <c r="A17" s="127" t="s">
        <v>424</v>
      </c>
      <c r="B17" s="116" t="s">
        <v>472</v>
      </c>
      <c r="C17" s="117">
        <f>+TBnew!B11</f>
        <v>98974683.99</v>
      </c>
      <c r="D17" s="117">
        <f>+TBnew!C11</f>
        <v>0</v>
      </c>
    </row>
    <row r="18" spans="1:4" ht="12.75">
      <c r="A18" s="127" t="s">
        <v>429</v>
      </c>
      <c r="B18" s="116" t="s">
        <v>581</v>
      </c>
      <c r="C18" s="117">
        <f>SUM(C19:C26)-C19</f>
        <v>36301908.62</v>
      </c>
      <c r="D18" s="117">
        <f>SUM(D19:D26)-D19</f>
        <v>211942</v>
      </c>
    </row>
    <row r="19" spans="1:4" ht="12.75">
      <c r="A19" s="127">
        <v>1</v>
      </c>
      <c r="B19" s="8" t="s">
        <v>582</v>
      </c>
      <c r="C19" s="115">
        <f>SUM(C20:C24)</f>
        <v>761134</v>
      </c>
      <c r="D19" s="115">
        <f>SUM(D20:D24)</f>
        <v>43510</v>
      </c>
    </row>
    <row r="20" spans="1:4" ht="12.75">
      <c r="A20" s="128">
        <v>1</v>
      </c>
      <c r="B20" s="118" t="s">
        <v>583</v>
      </c>
      <c r="C20" s="119">
        <f>+TBnew!B14</f>
        <v>215136</v>
      </c>
      <c r="D20" s="119">
        <f>+TBnew!C14</f>
        <v>0</v>
      </c>
    </row>
    <row r="21" spans="1:4" ht="12.75">
      <c r="A21" s="128">
        <f>+A20+1</f>
        <v>2</v>
      </c>
      <c r="B21" s="118" t="s">
        <v>584</v>
      </c>
      <c r="C21" s="119">
        <f>+TBnew!B15</f>
        <v>4509</v>
      </c>
      <c r="D21" s="119">
        <f>+TBnew!C15</f>
        <v>0</v>
      </c>
    </row>
    <row r="22" spans="1:4" ht="12.75">
      <c r="A22" s="128">
        <f>+A21+1</f>
        <v>3</v>
      </c>
      <c r="B22" s="118" t="s">
        <v>532</v>
      </c>
      <c r="C22" s="119">
        <f>+TBnew!B16</f>
        <v>78341</v>
      </c>
      <c r="D22" s="119">
        <f>+TBnew!C16</f>
        <v>0</v>
      </c>
    </row>
    <row r="23" spans="1:4" ht="12.75">
      <c r="A23" s="128">
        <f>+A22+1</f>
        <v>4</v>
      </c>
      <c r="B23" s="118" t="s">
        <v>585</v>
      </c>
      <c r="C23" s="119">
        <f>+TBnew!B17</f>
        <v>275248</v>
      </c>
      <c r="D23" s="119">
        <f>+TBnew!C17</f>
        <v>43510</v>
      </c>
    </row>
    <row r="24" spans="1:4" ht="12.75">
      <c r="A24" s="128">
        <f>+A23+1</f>
        <v>5</v>
      </c>
      <c r="B24" s="118" t="s">
        <v>586</v>
      </c>
      <c r="C24" s="119">
        <f>+TBnew!B18</f>
        <v>187900</v>
      </c>
      <c r="D24" s="119">
        <f>+TBnew!C18</f>
        <v>0</v>
      </c>
    </row>
    <row r="25" spans="1:4" ht="12.75">
      <c r="A25" s="127">
        <v>2</v>
      </c>
      <c r="B25" s="8" t="s">
        <v>541</v>
      </c>
      <c r="C25" s="115">
        <f>+TBnew!B19</f>
        <v>34624150.62</v>
      </c>
      <c r="D25" s="115">
        <f>+TBnew!C19</f>
        <v>168432</v>
      </c>
    </row>
    <row r="26" spans="1:4" ht="12.75">
      <c r="A26" s="127">
        <v>3</v>
      </c>
      <c r="B26" s="8" t="s">
        <v>543</v>
      </c>
      <c r="C26" s="115">
        <f>+TBnew!B20</f>
        <v>916624</v>
      </c>
      <c r="D26" s="115">
        <f>+TBnew!C20</f>
        <v>0</v>
      </c>
    </row>
    <row r="27" spans="1:5" ht="12.75">
      <c r="A27" s="127" t="s">
        <v>431</v>
      </c>
      <c r="B27" s="116" t="s">
        <v>475</v>
      </c>
      <c r="C27" s="117">
        <f>+TBnew!B21</f>
        <v>128020791.7</v>
      </c>
      <c r="D27" s="117">
        <f>+TBnew!C21</f>
        <v>227910311.51</v>
      </c>
      <c r="E27" s="199">
        <f>+D27-C27</f>
        <v>99889519.80999999</v>
      </c>
    </row>
    <row r="28" spans="1:5" ht="12.75">
      <c r="A28" s="127" t="s">
        <v>432</v>
      </c>
      <c r="B28" s="116" t="s">
        <v>587</v>
      </c>
      <c r="C28" s="117">
        <f>SUM(C29:C37)-C31</f>
        <v>0</v>
      </c>
      <c r="D28" s="117">
        <f>SUM(D29:D37)-D31</f>
        <v>6166967</v>
      </c>
      <c r="E28" s="199">
        <f>+D28-C28</f>
        <v>6166967</v>
      </c>
    </row>
    <row r="29" spans="1:5" ht="12.75">
      <c r="A29" s="127">
        <v>1</v>
      </c>
      <c r="B29" s="8" t="s">
        <v>588</v>
      </c>
      <c r="C29" s="115">
        <f>+TBnew!B23</f>
        <v>0</v>
      </c>
      <c r="D29" s="115">
        <f>+TBnew!C23</f>
        <v>6079487</v>
      </c>
      <c r="E29" t="s">
        <v>390</v>
      </c>
    </row>
    <row r="30" spans="1:5" ht="12.75">
      <c r="A30" s="127">
        <f>+A29+1</f>
        <v>2</v>
      </c>
      <c r="B30" s="8" t="s">
        <v>589</v>
      </c>
      <c r="C30" s="115">
        <f>+TBnew!B24</f>
        <v>0</v>
      </c>
      <c r="D30" s="115">
        <f>+TBnew!C24</f>
        <v>11189</v>
      </c>
      <c r="E30" t="s">
        <v>391</v>
      </c>
    </row>
    <row r="31" spans="1:5" ht="12.75">
      <c r="A31" s="127">
        <f>+A30+1</f>
        <v>3</v>
      </c>
      <c r="B31" s="8" t="s">
        <v>590</v>
      </c>
      <c r="C31" s="115">
        <f>SUM(C32:C36)</f>
        <v>0</v>
      </c>
      <c r="D31" s="115">
        <f>SUM(D32:D36)</f>
        <v>38967</v>
      </c>
      <c r="E31" t="s">
        <v>663</v>
      </c>
    </row>
    <row r="32" spans="1:5" ht="12.75">
      <c r="A32" s="128">
        <v>1</v>
      </c>
      <c r="B32" s="118" t="s">
        <v>263</v>
      </c>
      <c r="C32" s="119"/>
      <c r="D32" s="119">
        <f>+TBnew!C26</f>
        <v>0</v>
      </c>
      <c r="E32" t="s">
        <v>14</v>
      </c>
    </row>
    <row r="33" spans="1:5" ht="12.75">
      <c r="A33" s="128">
        <f>+A32+1</f>
        <v>2</v>
      </c>
      <c r="B33" s="118" t="s">
        <v>264</v>
      </c>
      <c r="C33" s="119"/>
      <c r="D33" s="119">
        <f>+TBnew!C27</f>
        <v>7162</v>
      </c>
      <c r="E33" t="s">
        <v>14</v>
      </c>
    </row>
    <row r="34" spans="1:5" ht="12.75">
      <c r="A34" s="128">
        <f>+A33+1</f>
        <v>3</v>
      </c>
      <c r="B34" s="118" t="s">
        <v>665</v>
      </c>
      <c r="C34" s="119"/>
      <c r="D34" s="119">
        <f>+TBnew!C29</f>
        <v>16805</v>
      </c>
      <c r="E34" t="s">
        <v>663</v>
      </c>
    </row>
    <row r="35" spans="1:4" ht="12.75">
      <c r="A35" s="128">
        <f>+A34+1</f>
        <v>4</v>
      </c>
      <c r="B35" s="118" t="s">
        <v>666</v>
      </c>
      <c r="C35" s="119"/>
      <c r="D35" s="119">
        <f>+TBnew!C30</f>
        <v>0</v>
      </c>
    </row>
    <row r="36" spans="1:5" ht="12.75">
      <c r="A36" s="128">
        <f>+A35+1</f>
        <v>5</v>
      </c>
      <c r="B36" s="118" t="s">
        <v>762</v>
      </c>
      <c r="C36" s="119"/>
      <c r="D36" s="119">
        <f>+TBnew!C28</f>
        <v>15000</v>
      </c>
      <c r="E36" t="s">
        <v>663</v>
      </c>
    </row>
    <row r="37" spans="1:5" ht="12.75">
      <c r="A37" s="127">
        <f>+A31+1</f>
        <v>4</v>
      </c>
      <c r="B37" s="8" t="s">
        <v>591</v>
      </c>
      <c r="C37" s="115">
        <f>+TBnew!B31</f>
        <v>0</v>
      </c>
      <c r="D37" s="115">
        <f>+TBnew!C31</f>
        <v>37324</v>
      </c>
      <c r="E37" t="s">
        <v>660</v>
      </c>
    </row>
    <row r="38" spans="1:5" ht="12.75">
      <c r="A38" s="126" t="s">
        <v>433</v>
      </c>
      <c r="B38" s="116" t="s">
        <v>592</v>
      </c>
      <c r="C38" s="117">
        <f>SUM(C39:C62)-C41-C46-C51-C54-C59-C60</f>
        <v>2850941</v>
      </c>
      <c r="D38" s="117">
        <f>SUM(D39:D62)-D41-D46-D51-D54-D59-D60</f>
        <v>0</v>
      </c>
      <c r="E38" s="199">
        <f>+D38-C38</f>
        <v>-2850941</v>
      </c>
    </row>
    <row r="39" spans="1:5" ht="12.75">
      <c r="A39" s="127">
        <v>1</v>
      </c>
      <c r="B39" s="8" t="s">
        <v>272</v>
      </c>
      <c r="C39" s="115">
        <f>+TBnew!B33</f>
        <v>0</v>
      </c>
      <c r="D39" s="115">
        <f>+TBnew!C33</f>
        <v>0</v>
      </c>
      <c r="E39" t="s">
        <v>393</v>
      </c>
    </row>
    <row r="40" spans="1:5" ht="12.75">
      <c r="A40" s="127">
        <f>+A39+1</f>
        <v>2</v>
      </c>
      <c r="B40" s="8" t="s">
        <v>273</v>
      </c>
      <c r="C40" s="115">
        <f>+TBnew!B34</f>
        <v>42694</v>
      </c>
      <c r="D40" s="115">
        <f>+TBnew!C34</f>
        <v>0</v>
      </c>
      <c r="E40" t="s">
        <v>659</v>
      </c>
    </row>
    <row r="41" spans="1:4" ht="12.75">
      <c r="A41" s="127">
        <f>+A40+1</f>
        <v>3</v>
      </c>
      <c r="B41" s="8" t="s">
        <v>593</v>
      </c>
      <c r="C41" s="115">
        <f>SUM(C42:C45)</f>
        <v>2507</v>
      </c>
      <c r="D41" s="115">
        <f>SUM(D42:D45)</f>
        <v>0</v>
      </c>
    </row>
    <row r="42" spans="1:5" ht="12.75">
      <c r="A42" s="128">
        <v>1</v>
      </c>
      <c r="B42" s="118" t="s">
        <v>594</v>
      </c>
      <c r="C42" s="119">
        <f>+TBnew!B36</f>
        <v>2507</v>
      </c>
      <c r="D42" s="119">
        <f>+TBnew!C36</f>
        <v>0</v>
      </c>
      <c r="E42" t="s">
        <v>660</v>
      </c>
    </row>
    <row r="43" spans="1:5" ht="12.75">
      <c r="A43" s="128">
        <f>+A42+1</f>
        <v>2</v>
      </c>
      <c r="B43" s="118" t="s">
        <v>595</v>
      </c>
      <c r="C43" s="119">
        <f>+TBnew!B37</f>
        <v>0</v>
      </c>
      <c r="D43" s="119">
        <f>+TBnew!C37</f>
        <v>0</v>
      </c>
      <c r="E43" t="s">
        <v>661</v>
      </c>
    </row>
    <row r="44" spans="1:5" ht="12.75">
      <c r="A44" s="128">
        <f>+A43+1</f>
        <v>3</v>
      </c>
      <c r="B44" s="118" t="s">
        <v>596</v>
      </c>
      <c r="C44" s="119">
        <f>+TBnew!B38</f>
        <v>0</v>
      </c>
      <c r="D44" s="119">
        <f>+TBnew!C38</f>
        <v>0</v>
      </c>
      <c r="E44" t="s">
        <v>659</v>
      </c>
    </row>
    <row r="45" spans="1:5" ht="12.75">
      <c r="A45" s="128">
        <f>+A44+1</f>
        <v>4</v>
      </c>
      <c r="B45" s="118" t="s">
        <v>597</v>
      </c>
      <c r="C45" s="119">
        <f>+TBnew!B39</f>
        <v>0</v>
      </c>
      <c r="D45" s="119">
        <f>+TBnew!C39</f>
        <v>0</v>
      </c>
      <c r="E45" t="s">
        <v>660</v>
      </c>
    </row>
    <row r="46" spans="1:4" ht="12.75">
      <c r="A46" s="127">
        <f>+A41+1</f>
        <v>4</v>
      </c>
      <c r="B46" s="8" t="s">
        <v>598</v>
      </c>
      <c r="C46" s="115">
        <f>SUM(C47:C49)</f>
        <v>0</v>
      </c>
      <c r="D46" s="115">
        <f>SUM(D47:D49)</f>
        <v>0</v>
      </c>
    </row>
    <row r="47" spans="1:5" ht="12.75">
      <c r="A47" s="128">
        <v>1</v>
      </c>
      <c r="B47" s="118" t="s">
        <v>300</v>
      </c>
      <c r="C47" s="119">
        <f>+TBnew!B41</f>
        <v>0</v>
      </c>
      <c r="D47" s="119">
        <f>+TBnew!C41</f>
        <v>0</v>
      </c>
      <c r="E47" t="s">
        <v>391</v>
      </c>
    </row>
    <row r="48" spans="1:5" ht="12.75">
      <c r="A48" s="128">
        <f>+A47+1</f>
        <v>2</v>
      </c>
      <c r="B48" s="118" t="s">
        <v>301</v>
      </c>
      <c r="C48" s="119">
        <f>+TBnew!B42</f>
        <v>0</v>
      </c>
      <c r="D48" s="119">
        <f>+TBnew!C42</f>
        <v>0</v>
      </c>
      <c r="E48" t="s">
        <v>391</v>
      </c>
    </row>
    <row r="49" spans="1:5" ht="12.75">
      <c r="A49" s="128">
        <f>+A48+1</f>
        <v>3</v>
      </c>
      <c r="B49" s="118" t="s">
        <v>510</v>
      </c>
      <c r="C49" s="119">
        <f>+TBnew!B43</f>
        <v>0</v>
      </c>
      <c r="D49" s="119">
        <f>+TBnew!C43</f>
        <v>0</v>
      </c>
      <c r="E49" t="s">
        <v>391</v>
      </c>
    </row>
    <row r="50" spans="1:5" ht="12.75">
      <c r="A50" s="127">
        <f>+A46+1</f>
        <v>5</v>
      </c>
      <c r="B50" s="8" t="s">
        <v>599</v>
      </c>
      <c r="C50" s="115">
        <f>+TBnew!B44</f>
        <v>17236</v>
      </c>
      <c r="D50" s="115">
        <f>+TBnew!C44</f>
        <v>0</v>
      </c>
      <c r="E50" t="s">
        <v>662</v>
      </c>
    </row>
    <row r="51" spans="1:4" ht="12.75">
      <c r="A51" s="127">
        <f>+A50+1</f>
        <v>6</v>
      </c>
      <c r="B51" s="8" t="s">
        <v>600</v>
      </c>
      <c r="C51" s="115">
        <f>SUM(C52:C53)</f>
        <v>2741362</v>
      </c>
      <c r="D51" s="115">
        <f>SUM(D52:D53)</f>
        <v>0</v>
      </c>
    </row>
    <row r="52" spans="1:5" ht="12.75">
      <c r="A52" s="128">
        <v>1</v>
      </c>
      <c r="B52" s="118" t="s">
        <v>140</v>
      </c>
      <c r="C52" s="119">
        <f>+TBnew!B46</f>
        <v>1431776</v>
      </c>
      <c r="D52" s="119">
        <f>+TBnew!C46</f>
        <v>0</v>
      </c>
      <c r="E52" t="s">
        <v>659</v>
      </c>
    </row>
    <row r="53" spans="1:5" ht="12.75">
      <c r="A53" s="128">
        <f>+A52+1</f>
        <v>2</v>
      </c>
      <c r="B53" s="118" t="s">
        <v>36</v>
      </c>
      <c r="C53" s="119">
        <f>+TBnew!B47</f>
        <v>1309586</v>
      </c>
      <c r="D53" s="119">
        <f>+TBnew!C47</f>
        <v>0</v>
      </c>
      <c r="E53" t="s">
        <v>660</v>
      </c>
    </row>
    <row r="54" spans="1:4" ht="12.75">
      <c r="A54" s="127">
        <f>+A51+1</f>
        <v>7</v>
      </c>
      <c r="B54" s="8" t="s">
        <v>601</v>
      </c>
      <c r="C54" s="115">
        <f>SUM(C55:C58)</f>
        <v>0</v>
      </c>
      <c r="D54" s="115">
        <f>SUM(D55:D58)</f>
        <v>0</v>
      </c>
    </row>
    <row r="55" spans="1:5" ht="12.75">
      <c r="A55" s="128">
        <v>1</v>
      </c>
      <c r="B55" s="118" t="s">
        <v>283</v>
      </c>
      <c r="C55" s="119">
        <f>+TBnew!B49</f>
        <v>0</v>
      </c>
      <c r="D55" s="119">
        <f>+TBnew!C49</f>
        <v>0</v>
      </c>
      <c r="E55" t="s">
        <v>663</v>
      </c>
    </row>
    <row r="56" spans="1:5" ht="12.75">
      <c r="A56" s="128">
        <f>+A55+1</f>
        <v>2</v>
      </c>
      <c r="B56" s="118" t="s">
        <v>602</v>
      </c>
      <c r="C56" s="119">
        <f>+TBnew!B50</f>
        <v>0</v>
      </c>
      <c r="D56" s="119">
        <f>+TBnew!C50</f>
        <v>0</v>
      </c>
      <c r="E56" t="s">
        <v>663</v>
      </c>
    </row>
    <row r="57" spans="1:5" ht="12.75">
      <c r="A57" s="128">
        <f>+A56+1</f>
        <v>3</v>
      </c>
      <c r="B57" s="118" t="s">
        <v>533</v>
      </c>
      <c r="C57" s="119">
        <f>+TBnew!B51</f>
        <v>0</v>
      </c>
      <c r="D57" s="119">
        <f>+TBnew!C51</f>
        <v>0</v>
      </c>
      <c r="E57" t="s">
        <v>663</v>
      </c>
    </row>
    <row r="58" spans="1:5" ht="12.75">
      <c r="A58" s="128">
        <f>+A57+1</f>
        <v>4</v>
      </c>
      <c r="B58" s="118" t="s">
        <v>292</v>
      </c>
      <c r="C58" s="119">
        <f>+TBnew!B52</f>
        <v>0</v>
      </c>
      <c r="D58" s="119">
        <f>+TBnew!C52</f>
        <v>0</v>
      </c>
      <c r="E58" t="s">
        <v>663</v>
      </c>
    </row>
    <row r="59" spans="1:5" ht="12.75">
      <c r="A59" s="127">
        <f>+A54+1</f>
        <v>8</v>
      </c>
      <c r="B59" s="8" t="s">
        <v>603</v>
      </c>
      <c r="C59" s="115">
        <f>+C60</f>
        <v>47142</v>
      </c>
      <c r="D59" s="115">
        <f>+D60</f>
        <v>0</v>
      </c>
      <c r="E59" t="s">
        <v>661</v>
      </c>
    </row>
    <row r="60" spans="1:4" ht="12.75">
      <c r="A60" s="128">
        <v>1</v>
      </c>
      <c r="B60" s="124" t="s">
        <v>604</v>
      </c>
      <c r="C60" s="125">
        <f>SUM(C61:C62)</f>
        <v>47142</v>
      </c>
      <c r="D60" s="125">
        <f>SUM(D61:D62)</f>
        <v>0</v>
      </c>
    </row>
    <row r="61" spans="2:4" ht="12.75">
      <c r="B61" s="122" t="s">
        <v>605</v>
      </c>
      <c r="C61" s="123">
        <f>+TBnew!B55</f>
        <v>14460</v>
      </c>
      <c r="D61" s="123">
        <f>+TBnew!C55</f>
        <v>0</v>
      </c>
    </row>
    <row r="62" spans="2:4" ht="12.75">
      <c r="B62" s="122" t="s">
        <v>606</v>
      </c>
      <c r="C62" s="123">
        <f>+TBnew!B56</f>
        <v>32682</v>
      </c>
      <c r="D62" s="123">
        <f>+TBnew!C56</f>
        <v>0</v>
      </c>
    </row>
    <row r="63" spans="1:5" ht="12.75">
      <c r="A63" s="127" t="s">
        <v>516</v>
      </c>
      <c r="B63" s="116" t="s">
        <v>484</v>
      </c>
      <c r="C63" s="117">
        <f>SUM(C64:C75)-C68-C64</f>
        <v>945400</v>
      </c>
      <c r="D63" s="117">
        <f>SUM(D64:D75)-D68</f>
        <v>0</v>
      </c>
      <c r="E63" s="199">
        <f>+D63-C63</f>
        <v>-945400</v>
      </c>
    </row>
    <row r="64" spans="1:5" ht="12.75">
      <c r="A64" s="127">
        <v>1</v>
      </c>
      <c r="B64" s="8" t="s">
        <v>607</v>
      </c>
      <c r="C64" s="115">
        <f>SUM(C65:C67)</f>
        <v>351300</v>
      </c>
      <c r="D64" s="115">
        <f>SUM(D65:D67)</f>
        <v>0</v>
      </c>
      <c r="E64" t="s">
        <v>668</v>
      </c>
    </row>
    <row r="65" spans="1:4" ht="12.75">
      <c r="A65" s="128">
        <v>1</v>
      </c>
      <c r="B65" s="118" t="s">
        <v>667</v>
      </c>
      <c r="C65" s="119">
        <f>+TBnew!B59</f>
        <v>5075</v>
      </c>
      <c r="D65" s="119"/>
    </row>
    <row r="66" spans="1:4" ht="12.75">
      <c r="A66" s="128">
        <f>+A65+1</f>
        <v>2</v>
      </c>
      <c r="B66" s="118" t="s">
        <v>307</v>
      </c>
      <c r="C66" s="119">
        <f>+TBnew!B60</f>
        <v>317105</v>
      </c>
      <c r="D66" s="119"/>
    </row>
    <row r="67" spans="1:4" ht="12.75">
      <c r="A67" s="128">
        <f>+A66+1</f>
        <v>3</v>
      </c>
      <c r="B67" s="118" t="s">
        <v>165</v>
      </c>
      <c r="C67" s="119">
        <f>+TBnew!B61</f>
        <v>29120</v>
      </c>
      <c r="D67" s="119"/>
    </row>
    <row r="68" spans="1:4" ht="12.75">
      <c r="A68" s="127">
        <f>1+A64</f>
        <v>2</v>
      </c>
      <c r="B68" s="8" t="s">
        <v>298</v>
      </c>
      <c r="C68" s="115">
        <f>SUM(C69:C75)</f>
        <v>594100</v>
      </c>
      <c r="D68" s="115">
        <f>SUM(D69:D75)</f>
        <v>0</v>
      </c>
    </row>
    <row r="69" spans="1:5" ht="12.75">
      <c r="A69" s="128">
        <v>1</v>
      </c>
      <c r="B69" s="118" t="s">
        <v>608</v>
      </c>
      <c r="C69" s="119">
        <f>+TBnew!B63</f>
        <v>0</v>
      </c>
      <c r="D69" s="119">
        <f>+TBnew!C63</f>
        <v>0</v>
      </c>
      <c r="E69" t="s">
        <v>659</v>
      </c>
    </row>
    <row r="70" spans="1:7" ht="12.75">
      <c r="A70" s="128">
        <f aca="true" t="shared" si="0" ref="A70:A75">+A69+1</f>
        <v>2</v>
      </c>
      <c r="B70" s="118" t="s">
        <v>306</v>
      </c>
      <c r="C70" s="119">
        <f>+TBnew!B64</f>
        <v>160740</v>
      </c>
      <c r="D70" s="119">
        <f>+TBnew!C64</f>
        <v>0</v>
      </c>
      <c r="E70" t="s">
        <v>399</v>
      </c>
      <c r="F70">
        <v>27700</v>
      </c>
      <c r="G70" t="s">
        <v>766</v>
      </c>
    </row>
    <row r="71" spans="1:5" ht="12.75">
      <c r="A71" s="128">
        <f t="shared" si="0"/>
        <v>3</v>
      </c>
      <c r="B71" s="118" t="s">
        <v>316</v>
      </c>
      <c r="C71" s="119">
        <f>+TBnew!B65</f>
        <v>292052</v>
      </c>
      <c r="D71" s="119">
        <f>+TBnew!C65</f>
        <v>0</v>
      </c>
      <c r="E71" t="s">
        <v>669</v>
      </c>
    </row>
    <row r="72" spans="1:5" ht="12.75">
      <c r="A72" s="128">
        <f t="shared" si="0"/>
        <v>4</v>
      </c>
      <c r="B72" s="118" t="s">
        <v>302</v>
      </c>
      <c r="C72" s="119">
        <f>+TBnew!B66</f>
        <v>141308</v>
      </c>
      <c r="D72" s="119">
        <f>+TBnew!C66</f>
        <v>0</v>
      </c>
      <c r="E72" t="s">
        <v>400</v>
      </c>
    </row>
    <row r="73" spans="1:5" ht="12.75">
      <c r="A73" s="128">
        <f t="shared" si="0"/>
        <v>5</v>
      </c>
      <c r="B73" s="118" t="s">
        <v>303</v>
      </c>
      <c r="C73" s="119">
        <f>+TBnew!B67</f>
        <v>0</v>
      </c>
      <c r="D73" s="119">
        <f>+TBnew!C67</f>
        <v>0</v>
      </c>
      <c r="E73" t="s">
        <v>400</v>
      </c>
    </row>
    <row r="74" spans="1:5" ht="12.75">
      <c r="A74" s="128">
        <f t="shared" si="0"/>
        <v>6</v>
      </c>
      <c r="B74" s="118" t="s">
        <v>304</v>
      </c>
      <c r="C74" s="119">
        <f>+TBnew!B68</f>
        <v>0</v>
      </c>
      <c r="D74" s="119">
        <f>+TBnew!C68</f>
        <v>0</v>
      </c>
      <c r="E74" t="s">
        <v>670</v>
      </c>
    </row>
    <row r="75" spans="1:5" ht="12.75">
      <c r="A75" s="128">
        <f t="shared" si="0"/>
        <v>7</v>
      </c>
      <c r="B75" s="118" t="s">
        <v>293</v>
      </c>
      <c r="C75" s="119">
        <f>+TBnew!B69</f>
        <v>0</v>
      </c>
      <c r="D75" s="119">
        <f>+TBnew!C69</f>
        <v>0</v>
      </c>
      <c r="E75" t="s">
        <v>660</v>
      </c>
    </row>
    <row r="76" spans="1:5" ht="12.75">
      <c r="A76" s="127" t="s">
        <v>517</v>
      </c>
      <c r="B76" s="116" t="s">
        <v>485</v>
      </c>
      <c r="C76" s="117">
        <f>SUM(C77:C79)</f>
        <v>0.28</v>
      </c>
      <c r="D76" s="117">
        <f>SUM(D77:D79)</f>
        <v>0</v>
      </c>
      <c r="E76" t="s">
        <v>393</v>
      </c>
    </row>
    <row r="77" spans="1:4" ht="12.75">
      <c r="A77" s="127">
        <v>1</v>
      </c>
      <c r="B77" s="7" t="s">
        <v>310</v>
      </c>
      <c r="C77" s="114">
        <f>+TBnew!B71</f>
        <v>0</v>
      </c>
      <c r="D77" s="114">
        <f>+TBnew!C71</f>
        <v>0</v>
      </c>
    </row>
    <row r="78" spans="1:4" ht="12.75">
      <c r="A78" s="127">
        <v>2</v>
      </c>
      <c r="B78" s="7" t="s">
        <v>609</v>
      </c>
      <c r="C78" s="114">
        <f>+TBnew!B72</f>
        <v>0</v>
      </c>
      <c r="D78" s="114">
        <f>+TBnew!C72</f>
        <v>0</v>
      </c>
    </row>
    <row r="79" spans="1:4" ht="12.75">
      <c r="A79" s="127">
        <v>3</v>
      </c>
      <c r="B79" s="7" t="s">
        <v>311</v>
      </c>
      <c r="C79" s="114">
        <f>+TBnew!B73</f>
        <v>0.28</v>
      </c>
      <c r="D79" s="114">
        <f>+TBnew!C73</f>
        <v>0</v>
      </c>
    </row>
    <row r="80" spans="1:4" ht="12.75">
      <c r="A80" s="127" t="s">
        <v>518</v>
      </c>
      <c r="B80" s="116" t="s">
        <v>486</v>
      </c>
      <c r="C80" s="117">
        <f>SUM(C81:C143)-C81-C83-C92-C98-C103-C104-C122-C126-C136</f>
        <v>4022072.619999999</v>
      </c>
      <c r="D80" s="117">
        <f>SUM(D81:D143)-D81-D83-D92-D98-D103-D104-D122-D126-D136</f>
        <v>0</v>
      </c>
    </row>
    <row r="81" spans="1:4" ht="12.75">
      <c r="A81" s="127">
        <v>1</v>
      </c>
      <c r="B81" s="8" t="s">
        <v>610</v>
      </c>
      <c r="C81" s="115">
        <f>SUM(C82:C91)-C83</f>
        <v>41898.619999999995</v>
      </c>
      <c r="D81" s="115">
        <f>SUM(D82:D91)-D83</f>
        <v>0</v>
      </c>
    </row>
    <row r="82" spans="1:4" ht="12.75">
      <c r="A82" s="128">
        <v>1</v>
      </c>
      <c r="B82" s="118" t="s">
        <v>325</v>
      </c>
      <c r="C82" s="119">
        <f>+TBnew!B76</f>
        <v>3667</v>
      </c>
      <c r="D82" s="119">
        <f>+TBnew!C76</f>
        <v>0</v>
      </c>
    </row>
    <row r="83" spans="1:4" ht="12.75">
      <c r="A83" s="128">
        <f>+A82+1</f>
        <v>2</v>
      </c>
      <c r="B83" s="124" t="s">
        <v>51</v>
      </c>
      <c r="C83" s="125">
        <f>SUM(C84:C86)</f>
        <v>2406.12</v>
      </c>
      <c r="D83" s="125">
        <f>SUM(D84:D86)</f>
        <v>0</v>
      </c>
    </row>
    <row r="84" spans="1:4" ht="12.75">
      <c r="A84" s="128"/>
      <c r="B84" s="122" t="s">
        <v>611</v>
      </c>
      <c r="C84" s="123">
        <f>+TBnew!B78</f>
        <v>0</v>
      </c>
      <c r="D84" s="123">
        <f>+TBnew!C78</f>
        <v>0</v>
      </c>
    </row>
    <row r="85" spans="1:4" ht="12.75">
      <c r="A85" s="128"/>
      <c r="B85" s="122" t="s">
        <v>317</v>
      </c>
      <c r="C85" s="123">
        <f>+TBnew!B79</f>
        <v>2405</v>
      </c>
      <c r="D85" s="123">
        <f>+TBnew!C79</f>
        <v>0</v>
      </c>
    </row>
    <row r="86" spans="1:4" ht="12.75">
      <c r="A86" s="128"/>
      <c r="B86" s="122" t="s">
        <v>319</v>
      </c>
      <c r="C86" s="123">
        <f>+TBnew!B80</f>
        <v>1.12</v>
      </c>
      <c r="D86" s="123">
        <f>+TBnew!C80</f>
        <v>0</v>
      </c>
    </row>
    <row r="87" spans="1:4" ht="12.75">
      <c r="A87" s="128">
        <f>+A83+1</f>
        <v>3</v>
      </c>
      <c r="B87" s="118" t="s">
        <v>315</v>
      </c>
      <c r="C87" s="119">
        <f>+TBnew!B81</f>
        <v>2652.5</v>
      </c>
      <c r="D87" s="119">
        <f>+TBnew!C81</f>
        <v>0</v>
      </c>
    </row>
    <row r="88" spans="1:4" ht="12.75">
      <c r="A88" s="128">
        <f>+A87+1</f>
        <v>4</v>
      </c>
      <c r="B88" s="118" t="s">
        <v>612</v>
      </c>
      <c r="C88" s="119">
        <f>+TBnew!B82</f>
        <v>11020</v>
      </c>
      <c r="D88" s="119">
        <f>+TBnew!C82</f>
        <v>0</v>
      </c>
    </row>
    <row r="89" spans="1:4" ht="12.75">
      <c r="A89" s="128">
        <f>+A88+1</f>
        <v>5</v>
      </c>
      <c r="B89" s="118" t="s">
        <v>613</v>
      </c>
      <c r="C89" s="119">
        <f>+TBnew!B83</f>
        <v>19617</v>
      </c>
      <c r="D89" s="119">
        <f>+TBnew!C83</f>
        <v>0</v>
      </c>
    </row>
    <row r="90" spans="1:4" ht="12.75">
      <c r="A90" s="128">
        <f>+A89+1</f>
        <v>6</v>
      </c>
      <c r="B90" s="118" t="s">
        <v>614</v>
      </c>
      <c r="C90" s="119">
        <f>+TBnew!B84</f>
        <v>153</v>
      </c>
      <c r="D90" s="119">
        <f>+TBnew!C84</f>
        <v>0</v>
      </c>
    </row>
    <row r="91" spans="1:4" ht="12.75">
      <c r="A91" s="128">
        <f>+A90+1</f>
        <v>7</v>
      </c>
      <c r="B91" s="118" t="s">
        <v>318</v>
      </c>
      <c r="C91" s="119">
        <f>+TBnew!B85</f>
        <v>2383</v>
      </c>
      <c r="D91" s="119">
        <f>+TBnew!C85</f>
        <v>0</v>
      </c>
    </row>
    <row r="92" spans="1:4" ht="12.75">
      <c r="A92" s="127">
        <f>+A81+1</f>
        <v>2</v>
      </c>
      <c r="B92" s="8" t="s">
        <v>511</v>
      </c>
      <c r="C92" s="115">
        <f>SUM(C93:C97)</f>
        <v>3163000</v>
      </c>
      <c r="D92" s="115">
        <f>SUM(D93:D97)</f>
        <v>0</v>
      </c>
    </row>
    <row r="93" spans="1:4" ht="12.75">
      <c r="A93" s="128">
        <v>1</v>
      </c>
      <c r="B93" s="118" t="s">
        <v>534</v>
      </c>
      <c r="C93" s="119">
        <f>+TBnew!B87</f>
        <v>531000</v>
      </c>
      <c r="D93" s="119">
        <f>+TBnew!C87</f>
        <v>0</v>
      </c>
    </row>
    <row r="94" spans="1:4" ht="12.75">
      <c r="A94" s="128">
        <f>+A93+1</f>
        <v>2</v>
      </c>
      <c r="B94" s="118" t="s">
        <v>13</v>
      </c>
      <c r="C94" s="119">
        <f>+TBnew!B88</f>
        <v>975000</v>
      </c>
      <c r="D94" s="119">
        <f>+TBnew!C88</f>
        <v>0</v>
      </c>
    </row>
    <row r="95" spans="1:4" ht="12.75">
      <c r="A95" s="128">
        <f>+A94+1</f>
        <v>3</v>
      </c>
      <c r="B95" s="118" t="s">
        <v>322</v>
      </c>
      <c r="C95" s="119">
        <f>+TBnew!B89</f>
        <v>1507000</v>
      </c>
      <c r="D95" s="119">
        <f>+TBnew!C89</f>
        <v>0</v>
      </c>
    </row>
    <row r="96" spans="1:4" ht="12.75">
      <c r="A96" s="128">
        <f>+A95+1</f>
        <v>4</v>
      </c>
      <c r="B96" s="118" t="s">
        <v>323</v>
      </c>
      <c r="C96" s="119">
        <f>+TBnew!B90</f>
        <v>0</v>
      </c>
      <c r="D96" s="119">
        <f>+TBnew!C90</f>
        <v>0</v>
      </c>
    </row>
    <row r="97" spans="1:4" ht="12.75">
      <c r="A97" s="128">
        <f>+A96+1</f>
        <v>5</v>
      </c>
      <c r="B97" s="118" t="s">
        <v>324</v>
      </c>
      <c r="C97" s="119">
        <f>+TBnew!B91</f>
        <v>150000</v>
      </c>
      <c r="D97" s="119">
        <f>+TBnew!C91</f>
        <v>0</v>
      </c>
    </row>
    <row r="98" spans="1:4" ht="12.75">
      <c r="A98" s="127">
        <f>+A92+1</f>
        <v>3</v>
      </c>
      <c r="B98" s="8" t="s">
        <v>512</v>
      </c>
      <c r="C98" s="115">
        <f>SUM(C99:C102)</f>
        <v>17791</v>
      </c>
      <c r="D98" s="115">
        <f>SUM(D99:D102)</f>
        <v>0</v>
      </c>
    </row>
    <row r="99" spans="1:4" ht="12.75">
      <c r="A99" s="128">
        <v>1</v>
      </c>
      <c r="B99" s="118" t="s">
        <v>328</v>
      </c>
      <c r="C99" s="119">
        <f>+TBnew!B93</f>
        <v>3570</v>
      </c>
      <c r="D99" s="119">
        <f>+TBnew!C93</f>
        <v>0</v>
      </c>
    </row>
    <row r="100" spans="1:4" ht="12.75">
      <c r="A100" s="128">
        <f>+A99+1</f>
        <v>2</v>
      </c>
      <c r="B100" s="118" t="s">
        <v>615</v>
      </c>
      <c r="C100" s="119">
        <f>+TBnew!B94</f>
        <v>0</v>
      </c>
      <c r="D100" s="119">
        <f>+TBnew!C94</f>
        <v>0</v>
      </c>
    </row>
    <row r="101" spans="1:4" ht="12.75">
      <c r="A101" s="128">
        <f>+A100+1</f>
        <v>3</v>
      </c>
      <c r="B101" s="118" t="s">
        <v>329</v>
      </c>
      <c r="C101" s="119">
        <f>+TBnew!B95</f>
        <v>5915</v>
      </c>
      <c r="D101" s="119">
        <f>+TBnew!C95</f>
        <v>0</v>
      </c>
    </row>
    <row r="102" spans="1:4" ht="12.75">
      <c r="A102" s="128">
        <f>+A101+1</f>
        <v>4</v>
      </c>
      <c r="B102" s="118" t="s">
        <v>616</v>
      </c>
      <c r="C102" s="119">
        <f>+TBnew!B96</f>
        <v>8306</v>
      </c>
      <c r="D102" s="119">
        <f>+TBnew!C96</f>
        <v>0</v>
      </c>
    </row>
    <row r="103" spans="1:4" ht="12.75">
      <c r="A103" s="127">
        <f>+A98+1</f>
        <v>4</v>
      </c>
      <c r="B103" s="8" t="s">
        <v>330</v>
      </c>
      <c r="C103" s="115">
        <f>SUM(C104:C121)-C104</f>
        <v>376049</v>
      </c>
      <c r="D103" s="115">
        <f>+TBnew!C97</f>
        <v>0</v>
      </c>
    </row>
    <row r="104" spans="1:4" ht="12.75">
      <c r="A104" s="128">
        <v>1</v>
      </c>
      <c r="B104" s="124" t="s">
        <v>331</v>
      </c>
      <c r="C104" s="125">
        <f>SUM(C105:C110)</f>
        <v>38882</v>
      </c>
      <c r="D104" s="125">
        <f>SUM(D105:D110)</f>
        <v>0</v>
      </c>
    </row>
    <row r="105" spans="1:4" ht="12.75">
      <c r="A105" s="197">
        <v>1</v>
      </c>
      <c r="B105" s="122" t="s">
        <v>617</v>
      </c>
      <c r="C105" s="123">
        <f>+TBnew!B99</f>
        <v>0</v>
      </c>
      <c r="D105" s="123">
        <f>+TBnew!C99</f>
        <v>0</v>
      </c>
    </row>
    <row r="106" spans="1:4" ht="12.75">
      <c r="A106" s="197">
        <f>+A105+1</f>
        <v>2</v>
      </c>
      <c r="B106" s="122" t="s">
        <v>618</v>
      </c>
      <c r="C106" s="123">
        <f>+TBnew!B100</f>
        <v>278</v>
      </c>
      <c r="D106" s="123">
        <f>+TBnew!C100</f>
        <v>0</v>
      </c>
    </row>
    <row r="107" spans="1:4" ht="12.75">
      <c r="A107" s="197">
        <f>+A106+1</f>
        <v>3</v>
      </c>
      <c r="B107" s="122" t="s">
        <v>619</v>
      </c>
      <c r="C107" s="123">
        <f>+TBnew!B101</f>
        <v>300</v>
      </c>
      <c r="D107" s="123">
        <f>+TBnew!C101</f>
        <v>0</v>
      </c>
    </row>
    <row r="108" spans="1:4" ht="12.75">
      <c r="A108" s="197">
        <f>+A107+1</f>
        <v>4</v>
      </c>
      <c r="B108" s="122" t="s">
        <v>620</v>
      </c>
      <c r="C108" s="123">
        <f>+TBnew!B102</f>
        <v>8850</v>
      </c>
      <c r="D108" s="123">
        <f>+TBnew!C102</f>
        <v>0</v>
      </c>
    </row>
    <row r="109" spans="1:4" ht="12.75">
      <c r="A109" s="197">
        <f>+A108+1</f>
        <v>5</v>
      </c>
      <c r="B109" s="122" t="s">
        <v>621</v>
      </c>
      <c r="C109" s="123">
        <f>+TBnew!B103</f>
        <v>29454</v>
      </c>
      <c r="D109" s="123">
        <f>+TBnew!C103</f>
        <v>0</v>
      </c>
    </row>
    <row r="110" spans="1:4" ht="12.75">
      <c r="A110" s="197">
        <f>+A109+1</f>
        <v>6</v>
      </c>
      <c r="B110" s="122" t="s">
        <v>622</v>
      </c>
      <c r="C110" s="123">
        <f>+TBnew!B104</f>
        <v>0</v>
      </c>
      <c r="D110" s="123">
        <f>+TBnew!C104</f>
        <v>0</v>
      </c>
    </row>
    <row r="111" spans="1:4" ht="12.75">
      <c r="A111" s="128">
        <f>+A104+1</f>
        <v>2</v>
      </c>
      <c r="B111" s="118" t="s">
        <v>623</v>
      </c>
      <c r="C111" s="119">
        <f>+TBnew!B105</f>
        <v>14253</v>
      </c>
      <c r="D111" s="119">
        <f>+TBnew!C105</f>
        <v>0</v>
      </c>
    </row>
    <row r="112" spans="1:4" ht="12.75">
      <c r="A112" s="128">
        <f aca="true" t="shared" si="1" ref="A112:A125">+A111+1</f>
        <v>3</v>
      </c>
      <c r="B112" s="118" t="s">
        <v>624</v>
      </c>
      <c r="C112" s="119">
        <f>+TBnew!B106</f>
        <v>102221</v>
      </c>
      <c r="D112" s="119">
        <f>+TBnew!C106</f>
        <v>0</v>
      </c>
    </row>
    <row r="113" spans="1:4" ht="12.75">
      <c r="A113" s="128">
        <f t="shared" si="1"/>
        <v>4</v>
      </c>
      <c r="B113" s="118" t="s">
        <v>334</v>
      </c>
      <c r="C113" s="119">
        <f>+TBnew!B107</f>
        <v>17808</v>
      </c>
      <c r="D113" s="119">
        <f>+TBnew!C107</f>
        <v>0</v>
      </c>
    </row>
    <row r="114" spans="1:4" ht="12.75">
      <c r="A114" s="128">
        <f t="shared" si="1"/>
        <v>5</v>
      </c>
      <c r="B114" s="118" t="s">
        <v>335</v>
      </c>
      <c r="C114" s="119">
        <f>+TBnew!B108</f>
        <v>0</v>
      </c>
      <c r="D114" s="119">
        <f>+TBnew!C108</f>
        <v>0</v>
      </c>
    </row>
    <row r="115" spans="1:4" ht="12.75">
      <c r="A115" s="128">
        <f t="shared" si="1"/>
        <v>6</v>
      </c>
      <c r="B115" s="118" t="s">
        <v>336</v>
      </c>
      <c r="C115" s="119">
        <f>+TBnew!B109</f>
        <v>0</v>
      </c>
      <c r="D115" s="119">
        <f>+TBnew!C109</f>
        <v>0</v>
      </c>
    </row>
    <row r="116" spans="1:4" ht="12.75">
      <c r="A116" s="128">
        <f t="shared" si="1"/>
        <v>7</v>
      </c>
      <c r="B116" s="118" t="s">
        <v>337</v>
      </c>
      <c r="C116" s="119">
        <f>+TBnew!B110</f>
        <v>23730</v>
      </c>
      <c r="D116" s="119">
        <f>+TBnew!C110</f>
        <v>0</v>
      </c>
    </row>
    <row r="117" spans="1:4" ht="12.75">
      <c r="A117" s="128">
        <f t="shared" si="1"/>
        <v>8</v>
      </c>
      <c r="B117" s="118" t="s">
        <v>338</v>
      </c>
      <c r="C117" s="119">
        <f>+TBnew!B111</f>
        <v>36315</v>
      </c>
      <c r="D117" s="119">
        <f>+TBnew!C111</f>
        <v>0</v>
      </c>
    </row>
    <row r="118" spans="1:4" ht="12.75">
      <c r="A118" s="128">
        <f t="shared" si="1"/>
        <v>9</v>
      </c>
      <c r="B118" s="118" t="s">
        <v>625</v>
      </c>
      <c r="C118" s="119">
        <f>+TBnew!B112</f>
        <v>3185</v>
      </c>
      <c r="D118" s="119">
        <f>+TBnew!C112</f>
        <v>0</v>
      </c>
    </row>
    <row r="119" spans="1:4" ht="12.75">
      <c r="A119" s="128">
        <f t="shared" si="1"/>
        <v>10</v>
      </c>
      <c r="B119" s="118" t="s">
        <v>626</v>
      </c>
      <c r="C119" s="119">
        <f>+TBnew!B113</f>
        <v>23841</v>
      </c>
      <c r="D119" s="119">
        <f>+TBnew!C113</f>
        <v>0</v>
      </c>
    </row>
    <row r="120" spans="1:4" ht="12.75">
      <c r="A120" s="128">
        <f t="shared" si="1"/>
        <v>11</v>
      </c>
      <c r="B120" s="118" t="s">
        <v>48</v>
      </c>
      <c r="C120" s="119">
        <f>+TBnew!B114</f>
        <v>91777</v>
      </c>
      <c r="D120" s="119">
        <f>+TBnew!C114</f>
        <v>0</v>
      </c>
    </row>
    <row r="121" spans="1:4" ht="12.75">
      <c r="A121" s="128">
        <f t="shared" si="1"/>
        <v>12</v>
      </c>
      <c r="B121" s="118" t="s">
        <v>344</v>
      </c>
      <c r="C121" s="119">
        <f>+TBnew!B115</f>
        <v>24037</v>
      </c>
      <c r="D121" s="119">
        <f>+TBnew!C115</f>
        <v>0</v>
      </c>
    </row>
    <row r="122" spans="1:4" ht="12.75">
      <c r="A122" s="127">
        <f>+A103+1</f>
        <v>5</v>
      </c>
      <c r="B122" s="8" t="s">
        <v>513</v>
      </c>
      <c r="C122" s="115">
        <f>SUM(C123:C125)</f>
        <v>600</v>
      </c>
      <c r="D122" s="115">
        <f>SUM(D123:D125)</f>
        <v>0</v>
      </c>
    </row>
    <row r="123" spans="1:4" ht="12.75">
      <c r="A123" s="128">
        <v>1</v>
      </c>
      <c r="B123" s="118" t="s">
        <v>627</v>
      </c>
      <c r="C123" s="119">
        <f>+TBnew!B117</f>
        <v>0</v>
      </c>
      <c r="D123" s="119">
        <f>+TBnew!C117</f>
        <v>0</v>
      </c>
    </row>
    <row r="124" spans="1:4" ht="12.75">
      <c r="A124" s="128">
        <f t="shared" si="1"/>
        <v>2</v>
      </c>
      <c r="B124" s="118" t="s">
        <v>553</v>
      </c>
      <c r="C124" s="119">
        <f>+TBnew!B118</f>
        <v>0</v>
      </c>
      <c r="D124" s="119">
        <f>+TBnew!C118</f>
        <v>0</v>
      </c>
    </row>
    <row r="125" spans="1:4" ht="12.75">
      <c r="A125" s="128">
        <f t="shared" si="1"/>
        <v>3</v>
      </c>
      <c r="B125" s="118" t="s">
        <v>628</v>
      </c>
      <c r="C125" s="119">
        <f>+TBnew!B119</f>
        <v>600</v>
      </c>
      <c r="D125" s="119">
        <f>+TBnew!C119</f>
        <v>0</v>
      </c>
    </row>
    <row r="126" spans="1:4" ht="12.75">
      <c r="A126" s="127">
        <f>+A122+1</f>
        <v>6</v>
      </c>
      <c r="B126" s="8" t="s">
        <v>629</v>
      </c>
      <c r="C126" s="115">
        <f>SUM(C127:C135)</f>
        <v>57367</v>
      </c>
      <c r="D126" s="115">
        <f>SUM(D127:D135)</f>
        <v>0</v>
      </c>
    </row>
    <row r="127" spans="1:4" ht="12.75">
      <c r="A127" s="128">
        <v>1</v>
      </c>
      <c r="B127" s="118" t="s">
        <v>630</v>
      </c>
      <c r="C127" s="119">
        <f>+TBnew!B121</f>
        <v>38134</v>
      </c>
      <c r="D127" s="119">
        <f>+TBnew!C121</f>
        <v>0</v>
      </c>
    </row>
    <row r="128" spans="1:4" ht="12.75">
      <c r="A128" s="128">
        <f aca="true" t="shared" si="2" ref="A128:A135">+A127+1</f>
        <v>2</v>
      </c>
      <c r="B128" s="118" t="s">
        <v>631</v>
      </c>
      <c r="C128" s="119">
        <f>+TBnew!B122</f>
        <v>0</v>
      </c>
      <c r="D128" s="119">
        <f>+TBnew!C122</f>
        <v>0</v>
      </c>
    </row>
    <row r="129" spans="1:4" ht="12.75">
      <c r="A129" s="128">
        <f t="shared" si="2"/>
        <v>3</v>
      </c>
      <c r="B129" s="118" t="s">
        <v>632</v>
      </c>
      <c r="C129" s="119">
        <f>+TBnew!B123</f>
        <v>1200</v>
      </c>
      <c r="D129" s="119">
        <f>+TBnew!C123</f>
        <v>0</v>
      </c>
    </row>
    <row r="130" spans="1:4" ht="12.75">
      <c r="A130" s="128">
        <f t="shared" si="2"/>
        <v>4</v>
      </c>
      <c r="B130" s="118" t="s">
        <v>633</v>
      </c>
      <c r="C130" s="119">
        <f>+TBnew!B124</f>
        <v>13203</v>
      </c>
      <c r="D130" s="119">
        <f>+TBnew!C124</f>
        <v>0</v>
      </c>
    </row>
    <row r="131" spans="1:4" ht="12.75">
      <c r="A131" s="128">
        <f t="shared" si="2"/>
        <v>5</v>
      </c>
      <c r="B131" s="118" t="s">
        <v>634</v>
      </c>
      <c r="C131" s="119">
        <f>+TBnew!B125</f>
        <v>0</v>
      </c>
      <c r="D131" s="119">
        <f>+TBnew!C125</f>
        <v>0</v>
      </c>
    </row>
    <row r="132" spans="1:4" ht="12.75">
      <c r="A132" s="128">
        <f t="shared" si="2"/>
        <v>6</v>
      </c>
      <c r="B132" s="118" t="s">
        <v>635</v>
      </c>
      <c r="C132" s="119">
        <f>+TBnew!B126</f>
        <v>1650</v>
      </c>
      <c r="D132" s="119">
        <f>+TBnew!C126</f>
        <v>0</v>
      </c>
    </row>
    <row r="133" spans="1:4" ht="12.75">
      <c r="A133" s="128">
        <f t="shared" si="2"/>
        <v>7</v>
      </c>
      <c r="B133" s="118" t="s">
        <v>636</v>
      </c>
      <c r="C133" s="119">
        <f>+TBnew!B127</f>
        <v>360</v>
      </c>
      <c r="D133" s="119">
        <f>+TBnew!C127</f>
        <v>0</v>
      </c>
    </row>
    <row r="134" spans="1:4" ht="12.75">
      <c r="A134" s="128">
        <f t="shared" si="2"/>
        <v>8</v>
      </c>
      <c r="B134" s="118" t="s">
        <v>637</v>
      </c>
      <c r="C134" s="119">
        <f>+TBnew!B128</f>
        <v>0</v>
      </c>
      <c r="D134" s="119">
        <f>+TBnew!C128</f>
        <v>0</v>
      </c>
    </row>
    <row r="135" spans="1:4" ht="12.75">
      <c r="A135" s="128">
        <f t="shared" si="2"/>
        <v>9</v>
      </c>
      <c r="B135" s="118" t="s">
        <v>353</v>
      </c>
      <c r="C135" s="119">
        <f>+TBnew!B129</f>
        <v>2820</v>
      </c>
      <c r="D135" s="119">
        <f>+TBnew!C129</f>
        <v>0</v>
      </c>
    </row>
    <row r="136" spans="1:4" ht="12.75">
      <c r="A136" s="127">
        <f>+A126+1</f>
        <v>7</v>
      </c>
      <c r="B136" s="8" t="s">
        <v>638</v>
      </c>
      <c r="C136" s="115">
        <f>SUM(C137:C141)</f>
        <v>198116</v>
      </c>
      <c r="D136" s="115">
        <f>SUM(D137:D141)</f>
        <v>0</v>
      </c>
    </row>
    <row r="137" spans="1:4" ht="12.75">
      <c r="A137" s="128">
        <v>1</v>
      </c>
      <c r="B137" s="118" t="s">
        <v>355</v>
      </c>
      <c r="C137" s="119">
        <f>+TBnew!B131</f>
        <v>176812</v>
      </c>
      <c r="D137" s="119">
        <f>+TBnew!C131</f>
        <v>0</v>
      </c>
    </row>
    <row r="138" spans="1:4" ht="12.75">
      <c r="A138" s="128">
        <f>+A137+1</f>
        <v>2</v>
      </c>
      <c r="B138" s="118" t="s">
        <v>639</v>
      </c>
      <c r="C138" s="119">
        <f>+TBnew!B132</f>
        <v>18109</v>
      </c>
      <c r="D138" s="119">
        <f>+TBnew!C132</f>
        <v>0</v>
      </c>
    </row>
    <row r="139" spans="1:4" ht="12.75">
      <c r="A139" s="128">
        <f>+A138+1</f>
        <v>3</v>
      </c>
      <c r="B139" s="118" t="s">
        <v>356</v>
      </c>
      <c r="C139" s="119">
        <f>+TBnew!B133</f>
        <v>3195</v>
      </c>
      <c r="D139" s="119">
        <f>+TBnew!C133</f>
        <v>0</v>
      </c>
    </row>
    <row r="140" spans="1:4" ht="12.75">
      <c r="A140" s="128">
        <f>+A139+1</f>
        <v>4</v>
      </c>
      <c r="B140" s="118" t="s">
        <v>359</v>
      </c>
      <c r="C140" s="119">
        <f>+TBnew!B134</f>
        <v>0</v>
      </c>
      <c r="D140" s="119">
        <f>+TBnew!C134</f>
        <v>0</v>
      </c>
    </row>
    <row r="141" spans="1:4" ht="12.75">
      <c r="A141" s="128">
        <f>+A140+1</f>
        <v>5</v>
      </c>
      <c r="B141" s="118" t="s">
        <v>360</v>
      </c>
      <c r="C141" s="119">
        <f>+TBnew!B135</f>
        <v>0</v>
      </c>
      <c r="D141" s="119">
        <f>+TBnew!C135</f>
        <v>0</v>
      </c>
    </row>
    <row r="142" spans="1:4" ht="12.75">
      <c r="A142" s="127">
        <f>+A136+1</f>
        <v>8</v>
      </c>
      <c r="B142" s="8" t="s">
        <v>640</v>
      </c>
      <c r="C142" s="115">
        <f>+TBnew!B136</f>
        <v>167251</v>
      </c>
      <c r="D142" s="115">
        <f>+TBnew!C136</f>
        <v>0</v>
      </c>
    </row>
    <row r="143" spans="1:4" ht="12.75">
      <c r="A143" s="127">
        <f>+A142+1</f>
        <v>9</v>
      </c>
      <c r="B143" s="8" t="s">
        <v>641</v>
      </c>
      <c r="C143" s="115">
        <f>+TBnew!B137</f>
        <v>0</v>
      </c>
      <c r="D143" s="115">
        <f>+TBnew!C137</f>
        <v>0</v>
      </c>
    </row>
    <row r="144" spans="1:4" ht="12.75">
      <c r="A144" s="127" t="s">
        <v>519</v>
      </c>
      <c r="B144" s="116" t="s">
        <v>642</v>
      </c>
      <c r="C144" s="117">
        <f>SUM(C145:C155)-C147-C150</f>
        <v>589990</v>
      </c>
      <c r="D144" s="117">
        <f>SUM(D145:D155)-D147</f>
        <v>649884</v>
      </c>
    </row>
    <row r="145" spans="1:5" ht="12.75">
      <c r="A145" s="127">
        <v>1</v>
      </c>
      <c r="B145" s="7" t="s">
        <v>643</v>
      </c>
      <c r="C145" s="114">
        <f>+TBnew!B139</f>
        <v>0</v>
      </c>
      <c r="D145" s="114">
        <f>+TBnew!C139</f>
        <v>0</v>
      </c>
      <c r="E145" t="s">
        <v>659</v>
      </c>
    </row>
    <row r="146" spans="1:5" ht="12.75">
      <c r="A146" s="127">
        <f>+A145+1</f>
        <v>2</v>
      </c>
      <c r="B146" s="7" t="s">
        <v>644</v>
      </c>
      <c r="C146" s="114">
        <f>+TBnew!B140</f>
        <v>0</v>
      </c>
      <c r="D146" s="114">
        <f>+TBnew!C140</f>
        <v>0</v>
      </c>
      <c r="E146" t="s">
        <v>662</v>
      </c>
    </row>
    <row r="147" spans="1:4" ht="12.75">
      <c r="A147" s="127">
        <f>+A146+1</f>
        <v>3</v>
      </c>
      <c r="B147" s="8" t="s">
        <v>654</v>
      </c>
      <c r="C147" s="115">
        <f>SUM(C148:C149)</f>
        <v>319042</v>
      </c>
      <c r="D147" s="115">
        <f>SUM(D148:D149)</f>
        <v>649884</v>
      </c>
    </row>
    <row r="148" spans="1:5" ht="12.75">
      <c r="A148" s="128">
        <v>1</v>
      </c>
      <c r="B148" s="118" t="s">
        <v>645</v>
      </c>
      <c r="C148" s="119">
        <f>+TBnew!B142</f>
        <v>142887</v>
      </c>
      <c r="D148" s="119">
        <f>+TBnew!C142</f>
        <v>513482</v>
      </c>
      <c r="E148" t="s">
        <v>659</v>
      </c>
    </row>
    <row r="149" spans="1:5" ht="12.75">
      <c r="A149" s="128">
        <f>+A148+1</f>
        <v>2</v>
      </c>
      <c r="B149" s="118" t="s">
        <v>646</v>
      </c>
      <c r="C149" s="119">
        <f>+TBnew!B143</f>
        <v>176155</v>
      </c>
      <c r="D149" s="119">
        <f>+TBnew!C143</f>
        <v>136402</v>
      </c>
      <c r="E149" t="s">
        <v>660</v>
      </c>
    </row>
    <row r="150" spans="1:4" ht="12.75">
      <c r="A150" s="127">
        <f>+A147+1</f>
        <v>4</v>
      </c>
      <c r="B150" s="8" t="s">
        <v>647</v>
      </c>
      <c r="C150" s="115">
        <f>SUM(C151:C154)</f>
        <v>270948</v>
      </c>
      <c r="D150" s="115">
        <f>+TBnew!C144</f>
        <v>0</v>
      </c>
    </row>
    <row r="151" spans="1:5" ht="12.75">
      <c r="A151" s="128">
        <v>1</v>
      </c>
      <c r="B151" s="118" t="s">
        <v>655</v>
      </c>
      <c r="C151" s="119">
        <f>+TBnew!B145</f>
        <v>0</v>
      </c>
      <c r="D151" s="119"/>
      <c r="E151" t="s">
        <v>393</v>
      </c>
    </row>
    <row r="152" spans="1:5" ht="12.75">
      <c r="A152" s="128">
        <f>+A151+1</f>
        <v>2</v>
      </c>
      <c r="B152" s="118" t="s">
        <v>656</v>
      </c>
      <c r="C152" s="119">
        <f>+TBnew!B146</f>
        <v>25121</v>
      </c>
      <c r="D152" s="119"/>
      <c r="E152" t="s">
        <v>391</v>
      </c>
    </row>
    <row r="153" spans="1:5" ht="12.75">
      <c r="A153" s="128">
        <f>+A152+1</f>
        <v>3</v>
      </c>
      <c r="B153" s="118" t="s">
        <v>657</v>
      </c>
      <c r="C153" s="119">
        <f>+TBnew!B147</f>
        <v>245827</v>
      </c>
      <c r="D153" s="119"/>
      <c r="E153" t="s">
        <v>391</v>
      </c>
    </row>
    <row r="154" spans="1:5" ht="12.75">
      <c r="A154" s="128">
        <f>+A153+1</f>
        <v>4</v>
      </c>
      <c r="B154" s="118" t="s">
        <v>658</v>
      </c>
      <c r="C154" s="119">
        <f>+TBnew!B148</f>
        <v>0</v>
      </c>
      <c r="D154" s="119"/>
      <c r="E154" t="s">
        <v>393</v>
      </c>
    </row>
    <row r="155" spans="1:5" ht="12.75">
      <c r="A155" s="127">
        <f>+A150+1</f>
        <v>5</v>
      </c>
      <c r="B155" s="7" t="s">
        <v>648</v>
      </c>
      <c r="C155" s="114">
        <f>+TBnew!B149</f>
        <v>0</v>
      </c>
      <c r="D155" s="114">
        <f>+TBnew!C149</f>
        <v>0</v>
      </c>
      <c r="E155" t="s">
        <v>661</v>
      </c>
    </row>
    <row r="156" spans="1:4" ht="12.75">
      <c r="A156" s="127" t="s">
        <v>520</v>
      </c>
      <c r="B156" s="116" t="s">
        <v>649</v>
      </c>
      <c r="C156" s="117">
        <f>SUM(C157:C160)-C158</f>
        <v>0</v>
      </c>
      <c r="D156" s="117">
        <f>SUM(D157:D160)-D158</f>
        <v>1816680</v>
      </c>
    </row>
    <row r="157" spans="1:5" ht="12.75">
      <c r="A157" s="127">
        <v>1</v>
      </c>
      <c r="B157" s="7" t="s">
        <v>650</v>
      </c>
      <c r="C157" s="114">
        <f>+TBnew!B151</f>
        <v>0</v>
      </c>
      <c r="D157" s="114">
        <f>+TBnew!C151</f>
        <v>1470530</v>
      </c>
      <c r="E157" t="s">
        <v>390</v>
      </c>
    </row>
    <row r="158" spans="1:4" ht="12.75">
      <c r="A158" s="127">
        <f>+A157+1</f>
        <v>2</v>
      </c>
      <c r="B158" s="8" t="s">
        <v>651</v>
      </c>
      <c r="C158" s="115">
        <f>+TBnew!B152</f>
        <v>0</v>
      </c>
      <c r="D158" s="115">
        <f>SUM(D159:D160)</f>
        <v>346150</v>
      </c>
    </row>
    <row r="159" spans="1:5" ht="12.75">
      <c r="A159" s="128">
        <v>1</v>
      </c>
      <c r="B159" s="118" t="s">
        <v>652</v>
      </c>
      <c r="C159" s="119">
        <f>+TBnew!B153</f>
        <v>0</v>
      </c>
      <c r="D159" s="119">
        <f>+TBnew!C153</f>
        <v>204782</v>
      </c>
      <c r="E159" t="s">
        <v>659</v>
      </c>
    </row>
    <row r="160" spans="1:5" ht="12.75">
      <c r="A160" s="128">
        <f>+A159+1</f>
        <v>2</v>
      </c>
      <c r="B160" s="118" t="s">
        <v>653</v>
      </c>
      <c r="C160" s="119">
        <f>+TBnew!B154</f>
        <v>0</v>
      </c>
      <c r="D160" s="119">
        <f>+TBnew!C154</f>
        <v>141368</v>
      </c>
      <c r="E160" t="s">
        <v>660</v>
      </c>
    </row>
    <row r="161" spans="1:4" ht="12.75">
      <c r="A161" s="126" t="s">
        <v>521</v>
      </c>
      <c r="B161" s="116" t="s">
        <v>105</v>
      </c>
      <c r="C161" s="117">
        <f>+TBnew!B155</f>
        <v>0</v>
      </c>
      <c r="D161" s="117">
        <f>+TBnew!C155</f>
        <v>19211838.36</v>
      </c>
    </row>
    <row r="162" spans="2:4" ht="12.75">
      <c r="B162" s="120" t="s">
        <v>387</v>
      </c>
      <c r="C162" s="129">
        <f>+C7+C17+C18+C27+C28+C38+C63+C76+C80+C144+C156+C161</f>
        <v>273212262.21</v>
      </c>
      <c r="D162" s="121">
        <f>+D7+D17+D18+D27+D28+D38+D63+D76+D80+D144+D156+D161</f>
        <v>273212262.21</v>
      </c>
    </row>
    <row r="163" spans="3:4" ht="12.75">
      <c r="C163" s="88">
        <f>+C162-D162</f>
        <v>0</v>
      </c>
      <c r="D163" s="88"/>
    </row>
    <row r="164" spans="2:4" ht="12.75">
      <c r="B164" s="132" t="s">
        <v>664</v>
      </c>
      <c r="C164" s="130">
        <f>C28+C38+C63+C76+C80+C144+C156</f>
        <v>8408403.899999999</v>
      </c>
      <c r="D164" s="130">
        <f>D28+D38+D63+D76+D80+D144+D156</f>
        <v>8633531</v>
      </c>
    </row>
    <row r="165" spans="2:5" ht="12.75">
      <c r="B165" s="132" t="s">
        <v>515</v>
      </c>
      <c r="C165" s="133">
        <f>+D164-C164</f>
        <v>225127.1000000015</v>
      </c>
      <c r="D165" s="131"/>
      <c r="E165" s="199" t="e">
        <f>+C165-#REF!</f>
        <v>#REF!</v>
      </c>
    </row>
    <row r="166" spans="3:4" ht="12.75">
      <c r="C166" s="88"/>
      <c r="D166" s="88"/>
    </row>
    <row r="167" spans="2:6" ht="12.75">
      <c r="B167" t="s">
        <v>763</v>
      </c>
      <c r="C167" s="88">
        <f>+D28-C38+C50+C59-C144+D144+D156-C156+C146-D146</f>
        <v>5256978</v>
      </c>
      <c r="D167" s="88"/>
      <c r="F167" s="199"/>
    </row>
    <row r="168" spans="3:6" ht="12.75">
      <c r="C168" s="88"/>
      <c r="D168" s="88"/>
      <c r="F168" s="199"/>
    </row>
    <row r="169" spans="2:6" ht="12.75">
      <c r="B169" s="93"/>
      <c r="C169" s="93"/>
      <c r="D169" s="93"/>
      <c r="E169" s="93"/>
      <c r="F169" s="93"/>
    </row>
    <row r="170" spans="2:6" ht="12.75">
      <c r="B170" s="26" t="s">
        <v>755</v>
      </c>
      <c r="C170" s="93"/>
      <c r="D170" s="93"/>
      <c r="E170" s="93"/>
      <c r="F170" s="93"/>
    </row>
    <row r="171" spans="2:6" ht="12.75">
      <c r="B171" s="93"/>
      <c r="C171" s="93"/>
      <c r="D171" s="93"/>
      <c r="E171" s="93"/>
      <c r="F171" s="93"/>
    </row>
    <row r="172" spans="2:7" ht="12.75">
      <c r="B172" s="93" t="s">
        <v>36</v>
      </c>
      <c r="C172" s="138"/>
      <c r="D172" s="138"/>
      <c r="E172" s="138"/>
      <c r="F172" s="138"/>
      <c r="G172" s="78"/>
    </row>
    <row r="173" spans="2:7" ht="12.75">
      <c r="B173" s="93" t="s">
        <v>140</v>
      </c>
      <c r="C173" s="138"/>
      <c r="D173" s="138"/>
      <c r="E173" s="138"/>
      <c r="F173" s="138"/>
      <c r="G173" s="78"/>
    </row>
    <row r="174" spans="2:7" ht="12.75">
      <c r="B174" s="93" t="s">
        <v>459</v>
      </c>
      <c r="C174" s="138"/>
      <c r="D174" s="138"/>
      <c r="E174" s="138"/>
      <c r="F174" s="138"/>
      <c r="G174" s="78"/>
    </row>
    <row r="175" spans="2:7" ht="12.75">
      <c r="B175" s="93" t="s">
        <v>456</v>
      </c>
      <c r="C175" s="138"/>
      <c r="D175" s="138"/>
      <c r="E175" s="138"/>
      <c r="F175" s="138"/>
      <c r="G175" s="78"/>
    </row>
    <row r="176" spans="2:7" ht="12.75">
      <c r="B176" s="93" t="s">
        <v>455</v>
      </c>
      <c r="C176" s="138"/>
      <c r="D176" s="138">
        <f>SUM(C172:C176)</f>
        <v>0</v>
      </c>
      <c r="E176" s="138"/>
      <c r="F176" s="138"/>
      <c r="G176" s="78"/>
    </row>
    <row r="177" spans="2:7" ht="12.75" hidden="1">
      <c r="B177" s="93"/>
      <c r="C177" s="138"/>
      <c r="D177" s="138"/>
      <c r="E177" s="138"/>
      <c r="F177" s="138"/>
      <c r="G177" s="78"/>
    </row>
    <row r="178" spans="2:7" ht="12.75" hidden="1">
      <c r="B178" s="26" t="s">
        <v>457</v>
      </c>
      <c r="C178" s="138"/>
      <c r="D178" s="138"/>
      <c r="E178" s="138"/>
      <c r="F178" s="138"/>
      <c r="G178" s="78"/>
    </row>
    <row r="179" spans="2:7" ht="12.75" hidden="1">
      <c r="B179" s="93"/>
      <c r="C179" s="138"/>
      <c r="D179" s="138"/>
      <c r="E179" s="138"/>
      <c r="F179" s="138"/>
      <c r="G179" s="78"/>
    </row>
    <row r="180" spans="2:7" ht="12.75" hidden="1">
      <c r="B180" s="93" t="s">
        <v>36</v>
      </c>
      <c r="C180" s="138"/>
      <c r="D180" s="138"/>
      <c r="E180" s="138"/>
      <c r="F180" s="138"/>
      <c r="G180" s="78"/>
    </row>
    <row r="181" spans="2:7" ht="12.75" hidden="1">
      <c r="B181" s="93" t="s">
        <v>140</v>
      </c>
      <c r="C181" s="138"/>
      <c r="D181" s="138">
        <f>SUM(C180:C181)-SUM(C172:C173)</f>
        <v>0</v>
      </c>
      <c r="E181" s="138"/>
      <c r="F181" s="138"/>
      <c r="G181" s="78"/>
    </row>
    <row r="182" spans="2:7" ht="12.75" hidden="1">
      <c r="B182" s="93" t="s">
        <v>459</v>
      </c>
      <c r="C182" s="138"/>
      <c r="D182" s="138"/>
      <c r="E182" s="138"/>
      <c r="F182" s="138"/>
      <c r="G182" s="78"/>
    </row>
    <row r="183" spans="2:7" ht="12.75" hidden="1">
      <c r="B183" s="93" t="s">
        <v>456</v>
      </c>
      <c r="C183" s="138"/>
      <c r="D183" s="138"/>
      <c r="E183" s="138"/>
      <c r="F183" s="138"/>
      <c r="G183" s="78"/>
    </row>
    <row r="184" spans="2:7" ht="12.75" hidden="1">
      <c r="B184" s="93" t="s">
        <v>455</v>
      </c>
      <c r="C184" s="138"/>
      <c r="D184" s="138">
        <f>SUM(C180:C184)</f>
        <v>0</v>
      </c>
      <c r="E184" s="138">
        <f>+D176-D184</f>
        <v>0</v>
      </c>
      <c r="F184" s="138"/>
      <c r="G184" s="78"/>
    </row>
    <row r="185" spans="2:7" ht="12.75" hidden="1">
      <c r="B185" s="93"/>
      <c r="C185" s="138"/>
      <c r="D185" s="138"/>
      <c r="E185" s="138"/>
      <c r="F185" s="138"/>
      <c r="G185" s="78"/>
    </row>
    <row r="186" spans="2:7" ht="12.75" hidden="1">
      <c r="B186" s="26" t="s">
        <v>458</v>
      </c>
      <c r="C186" s="138"/>
      <c r="D186" s="138"/>
      <c r="E186" s="138"/>
      <c r="F186" s="138"/>
      <c r="G186" s="78"/>
    </row>
    <row r="187" spans="2:7" ht="12.75" hidden="1">
      <c r="B187" s="93"/>
      <c r="C187" s="138"/>
      <c r="D187" s="138"/>
      <c r="E187" s="138"/>
      <c r="F187" s="138"/>
      <c r="G187" s="78"/>
    </row>
    <row r="188" spans="2:7" ht="12.75" hidden="1">
      <c r="B188" s="93" t="s">
        <v>36</v>
      </c>
      <c r="C188" s="138"/>
      <c r="D188" s="138"/>
      <c r="E188" s="138"/>
      <c r="F188" s="138"/>
      <c r="G188" s="78"/>
    </row>
    <row r="189" spans="2:7" ht="12.75" hidden="1">
      <c r="B189" s="93" t="s">
        <v>140</v>
      </c>
      <c r="C189" s="138"/>
      <c r="D189" s="138"/>
      <c r="E189" s="138"/>
      <c r="F189" s="138"/>
      <c r="G189" s="78"/>
    </row>
    <row r="190" spans="2:7" ht="12.75" hidden="1">
      <c r="B190" s="93" t="s">
        <v>459</v>
      </c>
      <c r="C190" s="138"/>
      <c r="D190" s="138"/>
      <c r="E190" s="138"/>
      <c r="F190" s="138"/>
      <c r="G190" s="78"/>
    </row>
    <row r="191" spans="2:7" ht="12.75" hidden="1">
      <c r="B191" s="93" t="s">
        <v>456</v>
      </c>
      <c r="C191" s="138"/>
      <c r="D191" s="138"/>
      <c r="E191" s="138"/>
      <c r="F191" s="138"/>
      <c r="G191" s="78"/>
    </row>
    <row r="192" spans="2:7" ht="12.75" hidden="1">
      <c r="B192" s="93" t="s">
        <v>455</v>
      </c>
      <c r="C192" s="138"/>
      <c r="D192" s="138">
        <f>SUM(C188:C192)</f>
        <v>0</v>
      </c>
      <c r="E192" s="138">
        <f>+D184-D192</f>
        <v>0</v>
      </c>
      <c r="F192" s="138">
        <f>+D176-D192</f>
        <v>0</v>
      </c>
      <c r="G192" s="78"/>
    </row>
    <row r="193" spans="2:7" ht="12.75" hidden="1">
      <c r="B193" s="93"/>
      <c r="C193" s="138"/>
      <c r="D193" s="138"/>
      <c r="E193" s="138"/>
      <c r="F193" s="138"/>
      <c r="G193" s="78"/>
    </row>
    <row r="194" spans="2:7" ht="12.75" hidden="1">
      <c r="B194" s="26" t="s">
        <v>508</v>
      </c>
      <c r="C194" s="138"/>
      <c r="D194" s="138"/>
      <c r="E194" s="138"/>
      <c r="F194" s="138"/>
      <c r="G194" s="78"/>
    </row>
    <row r="195" spans="2:7" ht="12.75" hidden="1">
      <c r="B195" s="93"/>
      <c r="C195" s="138"/>
      <c r="D195" s="138"/>
      <c r="E195" s="138"/>
      <c r="F195" s="138"/>
      <c r="G195" s="78"/>
    </row>
    <row r="196" spans="2:7" ht="12.75" hidden="1">
      <c r="B196" s="93" t="s">
        <v>36</v>
      </c>
      <c r="C196" s="138"/>
      <c r="D196" s="138"/>
      <c r="E196" s="138"/>
      <c r="F196" s="138"/>
      <c r="G196" s="78"/>
    </row>
    <row r="197" spans="2:7" ht="12.75" hidden="1">
      <c r="B197" s="93" t="s">
        <v>140</v>
      </c>
      <c r="C197" s="138"/>
      <c r="D197" s="138"/>
      <c r="E197" s="138"/>
      <c r="F197" s="138"/>
      <c r="G197" s="78"/>
    </row>
    <row r="198" spans="2:7" ht="12.75" hidden="1">
      <c r="B198" s="93" t="s">
        <v>459</v>
      </c>
      <c r="C198" s="138"/>
      <c r="D198" s="138"/>
      <c r="E198" s="138"/>
      <c r="F198" s="138"/>
      <c r="G198" s="78"/>
    </row>
    <row r="199" spans="2:7" ht="12.75" hidden="1">
      <c r="B199" s="93" t="s">
        <v>456</v>
      </c>
      <c r="C199" s="138"/>
      <c r="D199" s="138"/>
      <c r="E199" s="138"/>
      <c r="F199" s="138"/>
      <c r="G199" s="78"/>
    </row>
    <row r="200" spans="2:7" ht="12.75" hidden="1">
      <c r="B200" s="93" t="s">
        <v>455</v>
      </c>
      <c r="C200" s="139"/>
      <c r="D200" s="138">
        <f>SUM(C196:C200)</f>
        <v>0</v>
      </c>
      <c r="E200" s="138">
        <f>+D192-D200</f>
        <v>0</v>
      </c>
      <c r="F200" s="138">
        <f>+D176-D200</f>
        <v>0</v>
      </c>
      <c r="G200" s="78"/>
    </row>
    <row r="201" spans="2:7" ht="12.75" hidden="1">
      <c r="B201" s="93"/>
      <c r="C201" s="139"/>
      <c r="D201" s="138"/>
      <c r="E201" s="138"/>
      <c r="F201" s="138"/>
      <c r="G201" s="78"/>
    </row>
    <row r="202" spans="2:7" ht="12.75" hidden="1">
      <c r="B202" s="26" t="s">
        <v>551</v>
      </c>
      <c r="C202" s="138"/>
      <c r="D202" s="138"/>
      <c r="E202" s="138"/>
      <c r="F202" s="138"/>
      <c r="G202" s="78"/>
    </row>
    <row r="203" spans="2:7" ht="12.75" hidden="1">
      <c r="B203" s="93"/>
      <c r="C203" s="138"/>
      <c r="D203" s="138"/>
      <c r="E203" s="138"/>
      <c r="F203" s="138"/>
      <c r="G203" s="78"/>
    </row>
    <row r="204" spans="2:7" ht="12.75" hidden="1">
      <c r="B204" s="93" t="s">
        <v>36</v>
      </c>
      <c r="C204" s="138"/>
      <c r="D204" s="138"/>
      <c r="E204" s="138"/>
      <c r="F204" s="138"/>
      <c r="G204" s="78"/>
    </row>
    <row r="205" spans="2:7" ht="12.75" hidden="1">
      <c r="B205" s="93" t="s">
        <v>140</v>
      </c>
      <c r="C205" s="138"/>
      <c r="D205" s="138"/>
      <c r="E205" s="138"/>
      <c r="F205" s="138"/>
      <c r="G205" s="78"/>
    </row>
    <row r="206" spans="2:7" ht="12.75" hidden="1">
      <c r="B206" s="93" t="s">
        <v>459</v>
      </c>
      <c r="C206" s="138"/>
      <c r="D206" s="138"/>
      <c r="E206" s="138"/>
      <c r="F206" s="138"/>
      <c r="G206" s="78"/>
    </row>
    <row r="207" spans="2:7" ht="12.75" hidden="1">
      <c r="B207" s="93" t="s">
        <v>456</v>
      </c>
      <c r="C207" s="138"/>
      <c r="D207" s="138"/>
      <c r="E207" s="138"/>
      <c r="F207" s="138"/>
      <c r="G207" s="78"/>
    </row>
    <row r="208" spans="2:7" ht="12.75">
      <c r="B208" s="93" t="s">
        <v>455</v>
      </c>
      <c r="C208" s="139"/>
      <c r="D208" s="138">
        <f>SUM(C204:C208)</f>
        <v>0</v>
      </c>
      <c r="E208" s="138">
        <f>+D200-D208</f>
        <v>0</v>
      </c>
      <c r="F208" s="138">
        <f>+D184-D208</f>
        <v>0</v>
      </c>
      <c r="G208" s="78"/>
    </row>
    <row r="209" spans="2:7" ht="12.75">
      <c r="B209" s="93"/>
      <c r="C209" s="138"/>
      <c r="D209" s="138"/>
      <c r="E209" s="138"/>
      <c r="F209" s="138"/>
      <c r="G209" s="78"/>
    </row>
    <row r="211" ht="12.75">
      <c r="B211" s="26" t="s">
        <v>754</v>
      </c>
    </row>
    <row r="212" ht="12.75">
      <c r="B212" s="93"/>
    </row>
    <row r="213" ht="12.75">
      <c r="B213" s="93" t="s">
        <v>36</v>
      </c>
    </row>
    <row r="214" ht="12.75">
      <c r="B214" s="93" t="s">
        <v>140</v>
      </c>
    </row>
    <row r="215" ht="12.75">
      <c r="B215" s="93" t="s">
        <v>459</v>
      </c>
    </row>
    <row r="216" ht="12.75">
      <c r="B216" s="93" t="s">
        <v>456</v>
      </c>
    </row>
    <row r="217" ht="12.75">
      <c r="B217" s="93" t="s">
        <v>455</v>
      </c>
    </row>
    <row r="218" ht="12.75">
      <c r="B218" s="93"/>
    </row>
    <row r="219" ht="12.75">
      <c r="B219" s="26"/>
    </row>
    <row r="220" ht="12.75">
      <c r="B220" s="93"/>
    </row>
    <row r="221" ht="12.75">
      <c r="B221" s="93"/>
    </row>
    <row r="222" ht="12.75">
      <c r="B222" s="93"/>
    </row>
    <row r="223" ht="12.75">
      <c r="B223" s="93"/>
    </row>
    <row r="224" ht="12.75">
      <c r="B224" s="93"/>
    </row>
    <row r="225" ht="12.75">
      <c r="B225" s="93"/>
    </row>
    <row r="226" ht="12.75">
      <c r="B226" s="93"/>
    </row>
    <row r="227" ht="12.75">
      <c r="B227" s="26"/>
    </row>
    <row r="228" ht="12.75">
      <c r="B228" s="93"/>
    </row>
    <row r="229" ht="12.75">
      <c r="B229" s="93"/>
    </row>
    <row r="230" ht="12.75">
      <c r="B230" s="93"/>
    </row>
    <row r="231" ht="12.75">
      <c r="B231" s="93"/>
    </row>
    <row r="232" ht="12.75">
      <c r="B232" s="93"/>
    </row>
    <row r="233" ht="12.75">
      <c r="B233" s="93"/>
    </row>
    <row r="234" ht="12.75">
      <c r="B234" s="93"/>
    </row>
    <row r="235" ht="12.75">
      <c r="B235" s="26"/>
    </row>
    <row r="236" ht="12.75">
      <c r="B236" s="93"/>
    </row>
    <row r="237" ht="12.75">
      <c r="B237" s="93"/>
    </row>
    <row r="238" ht="12.75">
      <c r="B238" s="93"/>
    </row>
    <row r="239" ht="12.75">
      <c r="B239" s="93"/>
    </row>
    <row r="240" ht="12.75">
      <c r="B240" s="93"/>
    </row>
    <row r="241" ht="12.75">
      <c r="B241" s="93"/>
    </row>
    <row r="242" ht="12.75">
      <c r="B242" s="93"/>
    </row>
    <row r="243" ht="12.75">
      <c r="B243" s="26"/>
    </row>
    <row r="244" ht="12.75">
      <c r="B244" s="93"/>
    </row>
    <row r="245" ht="12.75">
      <c r="B245" s="93"/>
    </row>
    <row r="246" ht="12.75">
      <c r="B246" s="93"/>
    </row>
    <row r="247" ht="12.75">
      <c r="B247" s="93"/>
    </row>
    <row r="248" ht="12.75">
      <c r="B248" s="93"/>
    </row>
    <row r="249" ht="12.75">
      <c r="B249" s="93"/>
    </row>
  </sheetData>
  <mergeCells count="3">
    <mergeCell ref="B1:D1"/>
    <mergeCell ref="B2:D2"/>
    <mergeCell ref="B3:D3"/>
  </mergeCells>
  <printOptions headings="1" horizontalCentered="1"/>
  <pageMargins left="0.35433070866141736" right="0.35433070866141736" top="0.5905511811023623" bottom="0.5905511811023623" header="0.1968503937007874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C6" sqref="C6"/>
    </sheetView>
  </sheetViews>
  <sheetFormatPr defaultColWidth="9.140625" defaultRowHeight="12.75"/>
  <cols>
    <col min="1" max="1" width="37.8515625" style="0" bestFit="1" customWidth="1"/>
    <col min="2" max="2" width="15.00390625" style="88" bestFit="1" customWidth="1"/>
    <col min="3" max="3" width="15.140625" style="88" bestFit="1" customWidth="1"/>
  </cols>
  <sheetData>
    <row r="1" spans="1:3" ht="12.75">
      <c r="A1" s="6" t="s">
        <v>574</v>
      </c>
      <c r="B1" s="88">
        <v>1506474</v>
      </c>
      <c r="C1" s="88">
        <v>16375659.34</v>
      </c>
    </row>
    <row r="2" spans="1:3" ht="12.75">
      <c r="A2" s="6" t="s">
        <v>575</v>
      </c>
      <c r="B2" s="88">
        <v>0</v>
      </c>
      <c r="C2" s="88">
        <v>5480501</v>
      </c>
    </row>
    <row r="3" spans="1:3" ht="12.75">
      <c r="A3" t="s">
        <v>576</v>
      </c>
      <c r="B3" s="88">
        <v>0</v>
      </c>
      <c r="C3" s="88">
        <v>200213</v>
      </c>
    </row>
    <row r="4" spans="1:3" ht="12.75">
      <c r="A4" t="s">
        <v>199</v>
      </c>
      <c r="B4" s="88">
        <v>0</v>
      </c>
      <c r="C4" s="88">
        <v>2188000</v>
      </c>
    </row>
    <row r="5" spans="1:3" ht="12.75">
      <c r="A5" t="s">
        <v>577</v>
      </c>
      <c r="B5" s="88">
        <v>0</v>
      </c>
      <c r="C5" s="88">
        <v>3425</v>
      </c>
    </row>
    <row r="6" spans="1:3" ht="12.75">
      <c r="A6" t="s">
        <v>200</v>
      </c>
      <c r="B6" s="88">
        <v>0</v>
      </c>
      <c r="C6" s="88">
        <f>2697303+29120-9255-500000-200000+176812+11020-8600+2240+2000+2000+19617+14105+2221+127700+1100000+100000</f>
        <v>3566283</v>
      </c>
    </row>
    <row r="7" spans="1:3" ht="12.75">
      <c r="A7" t="s">
        <v>735</v>
      </c>
      <c r="B7" s="88">
        <v>0</v>
      </c>
      <c r="C7" s="88">
        <v>279560</v>
      </c>
    </row>
    <row r="8" spans="1:3" ht="12.75">
      <c r="A8" t="s">
        <v>578</v>
      </c>
      <c r="B8" s="88">
        <v>0</v>
      </c>
      <c r="C8" s="88">
        <v>112000</v>
      </c>
    </row>
    <row r="9" spans="1:3" ht="12.75">
      <c r="A9" t="s">
        <v>579</v>
      </c>
      <c r="B9" s="88">
        <v>0</v>
      </c>
      <c r="C9" s="88">
        <v>462727.97</v>
      </c>
    </row>
    <row r="10" spans="1:3" ht="12.75">
      <c r="A10" t="s">
        <v>580</v>
      </c>
      <c r="B10" s="88">
        <v>1506474</v>
      </c>
      <c r="C10" s="88">
        <v>10432430.37</v>
      </c>
    </row>
    <row r="11" spans="1:3" ht="12.75">
      <c r="A11" t="s">
        <v>472</v>
      </c>
      <c r="B11" s="88">
        <v>98974683.99</v>
      </c>
      <c r="C11" s="88">
        <v>0</v>
      </c>
    </row>
    <row r="12" spans="1:3" ht="12.75">
      <c r="A12" t="s">
        <v>581</v>
      </c>
      <c r="B12" s="88">
        <v>36301908.62</v>
      </c>
      <c r="C12" s="88">
        <v>211942</v>
      </c>
    </row>
    <row r="13" spans="1:3" ht="12.75">
      <c r="A13" t="s">
        <v>582</v>
      </c>
      <c r="B13" s="88">
        <v>761134</v>
      </c>
      <c r="C13" s="88">
        <v>43510</v>
      </c>
    </row>
    <row r="14" spans="1:3" ht="12.75">
      <c r="A14" t="s">
        <v>583</v>
      </c>
      <c r="B14" s="88">
        <v>215136</v>
      </c>
      <c r="C14" s="88">
        <v>0</v>
      </c>
    </row>
    <row r="15" spans="1:3" ht="12.75">
      <c r="A15" t="s">
        <v>584</v>
      </c>
      <c r="B15" s="88">
        <v>4509</v>
      </c>
      <c r="C15" s="88">
        <v>0</v>
      </c>
    </row>
    <row r="16" spans="1:3" ht="12.75">
      <c r="A16" t="s">
        <v>532</v>
      </c>
      <c r="B16" s="88">
        <v>78341</v>
      </c>
      <c r="C16" s="88">
        <v>0</v>
      </c>
    </row>
    <row r="17" spans="1:3" ht="12.75">
      <c r="A17" t="s">
        <v>585</v>
      </c>
      <c r="B17" s="88">
        <v>275248</v>
      </c>
      <c r="C17" s="88">
        <v>43510</v>
      </c>
    </row>
    <row r="18" spans="1:3" ht="12.75">
      <c r="A18" t="s">
        <v>586</v>
      </c>
      <c r="B18" s="88">
        <v>187900</v>
      </c>
      <c r="C18" s="88">
        <v>0</v>
      </c>
    </row>
    <row r="19" spans="1:3" ht="12.75">
      <c r="A19" t="s">
        <v>541</v>
      </c>
      <c r="B19" s="88">
        <v>34624150.62</v>
      </c>
      <c r="C19" s="88">
        <v>168432</v>
      </c>
    </row>
    <row r="20" spans="1:3" ht="12.75">
      <c r="A20" t="s">
        <v>543</v>
      </c>
      <c r="B20" s="88">
        <v>916624</v>
      </c>
      <c r="C20" s="88">
        <v>0</v>
      </c>
    </row>
    <row r="21" spans="1:3" ht="12.75">
      <c r="A21" t="s">
        <v>475</v>
      </c>
      <c r="B21" s="88">
        <v>128020791.7</v>
      </c>
      <c r="C21" s="88">
        <v>227910311.51</v>
      </c>
    </row>
    <row r="22" spans="1:3" ht="12.75">
      <c r="A22" t="s">
        <v>587</v>
      </c>
      <c r="B22" s="88">
        <v>0</v>
      </c>
      <c r="C22" s="88">
        <v>6151967</v>
      </c>
    </row>
    <row r="23" spans="1:3" ht="12.75">
      <c r="A23" t="s">
        <v>588</v>
      </c>
      <c r="B23" s="88">
        <v>0</v>
      </c>
      <c r="C23" s="88">
        <v>6079487</v>
      </c>
    </row>
    <row r="24" spans="1:3" ht="12.75">
      <c r="A24" t="s">
        <v>589</v>
      </c>
      <c r="B24" s="88">
        <v>0</v>
      </c>
      <c r="C24" s="88">
        <v>11189</v>
      </c>
    </row>
    <row r="25" spans="1:3" ht="12.75">
      <c r="A25" t="s">
        <v>590</v>
      </c>
      <c r="B25" s="88">
        <v>0</v>
      </c>
      <c r="C25" s="88">
        <v>23967</v>
      </c>
    </row>
    <row r="26" ht="12.75">
      <c r="A26" t="s">
        <v>263</v>
      </c>
    </row>
    <row r="27" spans="1:3" ht="12.75">
      <c r="A27" t="s">
        <v>264</v>
      </c>
      <c r="B27" s="88">
        <v>0</v>
      </c>
      <c r="C27" s="88">
        <v>7162</v>
      </c>
    </row>
    <row r="28" spans="1:3" ht="12.75">
      <c r="A28" t="s">
        <v>762</v>
      </c>
      <c r="C28" s="88">
        <v>15000</v>
      </c>
    </row>
    <row r="29" spans="1:3" ht="12.75">
      <c r="A29" t="s">
        <v>665</v>
      </c>
      <c r="B29" s="88">
        <v>0</v>
      </c>
      <c r="C29" s="88">
        <v>16805</v>
      </c>
    </row>
    <row r="30" ht="12.75">
      <c r="A30" t="s">
        <v>666</v>
      </c>
    </row>
    <row r="31" spans="1:3" ht="12.75">
      <c r="A31" t="s">
        <v>591</v>
      </c>
      <c r="B31" s="88">
        <v>0</v>
      </c>
      <c r="C31" s="88">
        <v>37324</v>
      </c>
    </row>
    <row r="32" spans="1:3" ht="12.75">
      <c r="A32" t="s">
        <v>592</v>
      </c>
      <c r="B32" s="88">
        <v>2150941</v>
      </c>
      <c r="C32" s="88">
        <v>0</v>
      </c>
    </row>
    <row r="33" spans="1:3" ht="12.75">
      <c r="A33" t="s">
        <v>272</v>
      </c>
      <c r="B33" s="88">
        <v>0</v>
      </c>
      <c r="C33" s="88">
        <v>0</v>
      </c>
    </row>
    <row r="34" spans="1:3" ht="12.75">
      <c r="A34" t="s">
        <v>273</v>
      </c>
      <c r="B34" s="88">
        <v>42694</v>
      </c>
      <c r="C34" s="88">
        <v>0</v>
      </c>
    </row>
    <row r="35" spans="1:3" ht="12.75">
      <c r="A35" t="s">
        <v>593</v>
      </c>
      <c r="B35" s="88">
        <v>2507</v>
      </c>
      <c r="C35" s="88">
        <v>0</v>
      </c>
    </row>
    <row r="36" spans="1:3" ht="12.75">
      <c r="A36" t="s">
        <v>594</v>
      </c>
      <c r="B36" s="88">
        <v>2507</v>
      </c>
      <c r="C36" s="88">
        <v>0</v>
      </c>
    </row>
    <row r="37" ht="12.75">
      <c r="A37" t="s">
        <v>595</v>
      </c>
    </row>
    <row r="38" ht="12.75">
      <c r="A38" t="s">
        <v>596</v>
      </c>
    </row>
    <row r="39" ht="12.75">
      <c r="A39" t="s">
        <v>597</v>
      </c>
    </row>
    <row r="40" ht="12.75">
      <c r="A40" t="s">
        <v>598</v>
      </c>
    </row>
    <row r="41" ht="12.75">
      <c r="A41" t="s">
        <v>300</v>
      </c>
    </row>
    <row r="42" ht="12.75">
      <c r="A42" t="s">
        <v>301</v>
      </c>
    </row>
    <row r="43" ht="12.75">
      <c r="A43" t="s">
        <v>510</v>
      </c>
    </row>
    <row r="44" spans="1:3" ht="12.75">
      <c r="A44" t="s">
        <v>599</v>
      </c>
      <c r="B44" s="88">
        <v>17236</v>
      </c>
      <c r="C44" s="88">
        <v>0</v>
      </c>
    </row>
    <row r="45" spans="1:3" ht="12.75">
      <c r="A45" t="s">
        <v>600</v>
      </c>
      <c r="B45" s="88">
        <v>1541362</v>
      </c>
      <c r="C45" s="88">
        <v>0</v>
      </c>
    </row>
    <row r="46" spans="1:3" ht="12.75">
      <c r="A46" t="s">
        <v>140</v>
      </c>
      <c r="B46" s="88">
        <f>331776+1100000</f>
        <v>1431776</v>
      </c>
      <c r="C46" s="88">
        <v>0</v>
      </c>
    </row>
    <row r="47" spans="1:3" ht="12.75">
      <c r="A47" t="s">
        <v>36</v>
      </c>
      <c r="B47" s="88">
        <f>1209586+100000</f>
        <v>1309586</v>
      </c>
      <c r="C47" s="88">
        <v>0</v>
      </c>
    </row>
    <row r="48" ht="12.75">
      <c r="A48" t="s">
        <v>601</v>
      </c>
    </row>
    <row r="49" ht="12.75">
      <c r="A49" t="s">
        <v>283</v>
      </c>
    </row>
    <row r="50" ht="12.75">
      <c r="A50" t="s">
        <v>602</v>
      </c>
    </row>
    <row r="51" ht="12.75">
      <c r="A51" t="s">
        <v>533</v>
      </c>
    </row>
    <row r="52" ht="12.75">
      <c r="A52" t="s">
        <v>292</v>
      </c>
    </row>
    <row r="53" spans="1:3" ht="12.75">
      <c r="A53" t="s">
        <v>603</v>
      </c>
      <c r="B53" s="88">
        <v>47142</v>
      </c>
      <c r="C53" s="88">
        <v>0</v>
      </c>
    </row>
    <row r="54" spans="1:3" ht="12.75">
      <c r="A54" t="s">
        <v>604</v>
      </c>
      <c r="B54" s="88">
        <v>47142</v>
      </c>
      <c r="C54" s="88">
        <v>0</v>
      </c>
    </row>
    <row r="55" spans="1:3" ht="12.75">
      <c r="A55" t="s">
        <v>605</v>
      </c>
      <c r="B55" s="88">
        <v>14460</v>
      </c>
      <c r="C55" s="88">
        <v>0</v>
      </c>
    </row>
    <row r="56" spans="1:3" ht="12.75">
      <c r="A56" t="s">
        <v>606</v>
      </c>
      <c r="B56" s="88">
        <v>32682</v>
      </c>
      <c r="C56" s="88">
        <v>0</v>
      </c>
    </row>
    <row r="57" spans="1:3" ht="12.75">
      <c r="A57" t="s">
        <v>484</v>
      </c>
      <c r="B57" s="88">
        <v>783730</v>
      </c>
      <c r="C57" s="88">
        <v>0</v>
      </c>
    </row>
    <row r="58" spans="1:3" ht="12.75">
      <c r="A58" t="s">
        <v>607</v>
      </c>
      <c r="B58" s="88">
        <v>308075</v>
      </c>
      <c r="C58" s="88">
        <v>0</v>
      </c>
    </row>
    <row r="59" spans="1:3" ht="12.75">
      <c r="A59" t="s">
        <v>667</v>
      </c>
      <c r="B59" s="88">
        <v>5075</v>
      </c>
      <c r="C59" s="88">
        <v>0</v>
      </c>
    </row>
    <row r="60" spans="1:3" ht="12.75">
      <c r="A60" t="s">
        <v>307</v>
      </c>
      <c r="B60" s="88">
        <v>317105</v>
      </c>
      <c r="C60" s="88">
        <v>0</v>
      </c>
    </row>
    <row r="61" spans="1:2" ht="12.75">
      <c r="A61" t="s">
        <v>165</v>
      </c>
      <c r="B61" s="88">
        <v>29120</v>
      </c>
    </row>
    <row r="62" spans="1:3" ht="12.75">
      <c r="A62" t="s">
        <v>298</v>
      </c>
      <c r="B62" s="88">
        <v>475655</v>
      </c>
      <c r="C62" s="88">
        <v>0</v>
      </c>
    </row>
    <row r="63" ht="12.75">
      <c r="A63" t="s">
        <v>608</v>
      </c>
    </row>
    <row r="64" spans="1:3" ht="12.75">
      <c r="A64" t="s">
        <v>306</v>
      </c>
      <c r="B64" s="88">
        <f>33040+127700</f>
        <v>160740</v>
      </c>
      <c r="C64" s="88">
        <v>0</v>
      </c>
    </row>
    <row r="65" spans="1:3" ht="12.75">
      <c r="A65" t="s">
        <v>316</v>
      </c>
      <c r="B65" s="88">
        <f>301307-9255</f>
        <v>292052</v>
      </c>
      <c r="C65" s="88">
        <v>0</v>
      </c>
    </row>
    <row r="66" spans="1:3" ht="12.75">
      <c r="A66" t="s">
        <v>302</v>
      </c>
      <c r="B66" s="88">
        <v>141308</v>
      </c>
      <c r="C66" s="88">
        <v>0</v>
      </c>
    </row>
    <row r="67" ht="12.75">
      <c r="A67" t="s">
        <v>303</v>
      </c>
    </row>
    <row r="68" ht="12.75">
      <c r="A68" t="s">
        <v>304</v>
      </c>
    </row>
    <row r="69" ht="12.75">
      <c r="A69" t="s">
        <v>293</v>
      </c>
    </row>
    <row r="70" spans="1:3" ht="12.75">
      <c r="A70" t="s">
        <v>485</v>
      </c>
      <c r="B70" s="88">
        <v>0.28</v>
      </c>
      <c r="C70" s="88">
        <v>0</v>
      </c>
    </row>
    <row r="71" ht="12.75">
      <c r="A71" t="s">
        <v>310</v>
      </c>
    </row>
    <row r="72" ht="12.75">
      <c r="A72" t="s">
        <v>609</v>
      </c>
    </row>
    <row r="73" spans="1:3" ht="12.75">
      <c r="A73" t="s">
        <v>311</v>
      </c>
      <c r="B73" s="88">
        <v>0.28</v>
      </c>
      <c r="C73" s="88">
        <v>0</v>
      </c>
    </row>
    <row r="74" spans="1:3" ht="12.75">
      <c r="A74" t="s">
        <v>486</v>
      </c>
      <c r="B74" s="88">
        <v>4014762.62</v>
      </c>
      <c r="C74" s="88">
        <v>15000</v>
      </c>
    </row>
    <row r="75" spans="1:3" ht="12.75">
      <c r="A75" t="s">
        <v>610</v>
      </c>
      <c r="B75" s="88">
        <v>5021.62</v>
      </c>
      <c r="C75" s="88">
        <v>0</v>
      </c>
    </row>
    <row r="76" spans="1:3" ht="12.75">
      <c r="A76" t="s">
        <v>325</v>
      </c>
      <c r="B76" s="88">
        <f>1427+2240</f>
        <v>3667</v>
      </c>
      <c r="C76" s="88">
        <v>0</v>
      </c>
    </row>
    <row r="77" spans="1:3" ht="12.75">
      <c r="A77" t="s">
        <v>51</v>
      </c>
      <c r="B77" s="88">
        <f>406.12+2000</f>
        <v>2406.12</v>
      </c>
      <c r="C77" s="88">
        <v>0</v>
      </c>
    </row>
    <row r="78" ht="12.75">
      <c r="A78" t="s">
        <v>611</v>
      </c>
    </row>
    <row r="79" spans="1:2" ht="12.75">
      <c r="A79" t="s">
        <v>317</v>
      </c>
      <c r="B79" s="88">
        <f>405+2000</f>
        <v>2405</v>
      </c>
    </row>
    <row r="80" spans="1:2" ht="12.75">
      <c r="A80" t="s">
        <v>319</v>
      </c>
      <c r="B80" s="88">
        <v>1.12</v>
      </c>
    </row>
    <row r="81" spans="1:3" ht="12.75">
      <c r="A81" t="s">
        <v>315</v>
      </c>
      <c r="B81" s="88">
        <v>2652.5</v>
      </c>
      <c r="C81" s="88">
        <v>0</v>
      </c>
    </row>
    <row r="82" spans="1:2" ht="12.75">
      <c r="A82" t="s">
        <v>612</v>
      </c>
      <c r="B82" s="88">
        <v>11020</v>
      </c>
    </row>
    <row r="83" spans="1:2" ht="12.75">
      <c r="A83" t="s">
        <v>613</v>
      </c>
      <c r="B83" s="88">
        <v>19617</v>
      </c>
    </row>
    <row r="84" spans="1:3" ht="12.75">
      <c r="A84" t="s">
        <v>614</v>
      </c>
      <c r="B84" s="88">
        <v>153</v>
      </c>
      <c r="C84" s="88">
        <v>0</v>
      </c>
    </row>
    <row r="85" spans="1:4" ht="12.75">
      <c r="A85" t="s">
        <v>318</v>
      </c>
      <c r="B85" s="88">
        <f>383+2000</f>
        <v>2383</v>
      </c>
      <c r="C85" s="88">
        <v>0</v>
      </c>
      <c r="D85">
        <f>21523+27128</f>
        <v>48651</v>
      </c>
    </row>
    <row r="86" spans="1:3" ht="12.75">
      <c r="A86" t="s">
        <v>511</v>
      </c>
      <c r="B86" s="88">
        <v>3163000</v>
      </c>
      <c r="C86" s="88">
        <v>0</v>
      </c>
    </row>
    <row r="87" spans="1:3" ht="12.75">
      <c r="A87" t="s">
        <v>534</v>
      </c>
      <c r="B87" s="88">
        <v>531000</v>
      </c>
      <c r="C87" s="88">
        <v>0</v>
      </c>
    </row>
    <row r="88" spans="1:3" ht="12.75">
      <c r="A88" t="s">
        <v>13</v>
      </c>
      <c r="B88" s="88">
        <v>975000</v>
      </c>
      <c r="C88" s="88">
        <v>0</v>
      </c>
    </row>
    <row r="89" spans="1:3" ht="12.75">
      <c r="A89" t="s">
        <v>322</v>
      </c>
      <c r="B89" s="88">
        <v>1507000</v>
      </c>
      <c r="C89" s="88">
        <v>0</v>
      </c>
    </row>
    <row r="90" ht="12.75">
      <c r="A90" t="s">
        <v>323</v>
      </c>
    </row>
    <row r="91" spans="1:3" ht="12.75">
      <c r="A91" t="s">
        <v>324</v>
      </c>
      <c r="B91" s="88">
        <v>150000</v>
      </c>
      <c r="C91" s="88">
        <v>0</v>
      </c>
    </row>
    <row r="92" spans="1:3" ht="12.75">
      <c r="A92" t="s">
        <v>512</v>
      </c>
      <c r="B92" s="88">
        <v>17791</v>
      </c>
      <c r="C92" s="88">
        <v>0</v>
      </c>
    </row>
    <row r="93" spans="1:3" ht="12.75">
      <c r="A93" t="s">
        <v>328</v>
      </c>
      <c r="B93" s="88">
        <v>3570</v>
      </c>
      <c r="C93" s="88">
        <v>0</v>
      </c>
    </row>
    <row r="94" ht="12.75">
      <c r="A94" t="s">
        <v>615</v>
      </c>
    </row>
    <row r="95" spans="1:3" ht="12.75">
      <c r="A95" t="s">
        <v>329</v>
      </c>
      <c r="B95" s="88">
        <v>5915</v>
      </c>
      <c r="C95" s="88">
        <v>0</v>
      </c>
    </row>
    <row r="96" spans="1:3" ht="12.75">
      <c r="A96" t="s">
        <v>616</v>
      </c>
      <c r="B96" s="88">
        <v>8306</v>
      </c>
      <c r="C96" s="88">
        <v>0</v>
      </c>
    </row>
    <row r="97" spans="1:3" ht="12.75">
      <c r="A97" t="s">
        <v>330</v>
      </c>
      <c r="B97" s="88">
        <v>382428</v>
      </c>
      <c r="C97" s="88">
        <v>0</v>
      </c>
    </row>
    <row r="98" spans="1:3" ht="12.75">
      <c r="A98" t="s">
        <v>331</v>
      </c>
      <c r="B98" s="88">
        <f>47482</f>
        <v>47482</v>
      </c>
      <c r="C98" s="88">
        <v>0</v>
      </c>
    </row>
    <row r="99" ht="12.75">
      <c r="A99" t="s">
        <v>617</v>
      </c>
    </row>
    <row r="100" spans="1:3" ht="12.75">
      <c r="A100" t="s">
        <v>618</v>
      </c>
      <c r="B100" s="88">
        <v>278</v>
      </c>
      <c r="C100" s="88">
        <v>0</v>
      </c>
    </row>
    <row r="101" spans="1:3" ht="12.75">
      <c r="A101" t="s">
        <v>619</v>
      </c>
      <c r="B101" s="88">
        <v>300</v>
      </c>
      <c r="C101" s="88">
        <v>0</v>
      </c>
    </row>
    <row r="102" spans="1:3" ht="12.75">
      <c r="A102" t="s">
        <v>620</v>
      </c>
      <c r="B102" s="88">
        <f>17450-8600</f>
        <v>8850</v>
      </c>
      <c r="C102" s="88">
        <v>0</v>
      </c>
    </row>
    <row r="103" spans="1:3" ht="12.75">
      <c r="A103" t="s">
        <v>621</v>
      </c>
      <c r="B103" s="88">
        <v>29454</v>
      </c>
      <c r="C103" s="88">
        <v>0</v>
      </c>
    </row>
    <row r="104" ht="12.75">
      <c r="A104" t="s">
        <v>622</v>
      </c>
    </row>
    <row r="105" spans="1:3" ht="12.75">
      <c r="A105" t="s">
        <v>623</v>
      </c>
      <c r="B105" s="88">
        <v>14253</v>
      </c>
      <c r="C105" s="88">
        <v>0</v>
      </c>
    </row>
    <row r="106" spans="1:3" ht="12.75">
      <c r="A106" t="s">
        <v>624</v>
      </c>
      <c r="B106" s="88">
        <v>102221</v>
      </c>
      <c r="C106" s="88">
        <v>0</v>
      </c>
    </row>
    <row r="107" spans="1:3" ht="12.75">
      <c r="A107" t="s">
        <v>334</v>
      </c>
      <c r="B107" s="88">
        <v>17808</v>
      </c>
      <c r="C107" s="88">
        <v>0</v>
      </c>
    </row>
    <row r="108" ht="12.75">
      <c r="A108" t="s">
        <v>335</v>
      </c>
    </row>
    <row r="109" ht="12.75">
      <c r="A109" t="s">
        <v>336</v>
      </c>
    </row>
    <row r="110" spans="1:3" ht="12.75">
      <c r="A110" t="s">
        <v>337</v>
      </c>
      <c r="B110" s="88">
        <v>23730</v>
      </c>
      <c r="C110" s="88">
        <v>0</v>
      </c>
    </row>
    <row r="111" spans="1:3" ht="12.75">
      <c r="A111" t="s">
        <v>338</v>
      </c>
      <c r="B111" s="88">
        <v>36315</v>
      </c>
      <c r="C111" s="88">
        <v>0</v>
      </c>
    </row>
    <row r="112" spans="1:3" ht="12.75">
      <c r="A112" t="s">
        <v>625</v>
      </c>
      <c r="B112" s="88">
        <v>3185</v>
      </c>
      <c r="C112" s="88">
        <v>0</v>
      </c>
    </row>
    <row r="113" spans="1:3" ht="12.75">
      <c r="A113" t="s">
        <v>626</v>
      </c>
      <c r="B113" s="88">
        <v>23841</v>
      </c>
      <c r="C113" s="88">
        <v>0</v>
      </c>
    </row>
    <row r="114" spans="1:3" ht="12.75">
      <c r="A114" t="s">
        <v>48</v>
      </c>
      <c r="B114" s="88">
        <v>91777</v>
      </c>
      <c r="C114" s="88">
        <v>0</v>
      </c>
    </row>
    <row r="115" spans="1:3" ht="12.75">
      <c r="A115" t="s">
        <v>344</v>
      </c>
      <c r="B115" s="88">
        <v>24037</v>
      </c>
      <c r="C115" s="88">
        <v>0</v>
      </c>
    </row>
    <row r="116" spans="1:3" ht="12.75">
      <c r="A116" t="s">
        <v>513</v>
      </c>
      <c r="B116" s="88">
        <v>600</v>
      </c>
      <c r="C116" s="88">
        <v>0</v>
      </c>
    </row>
    <row r="117" ht="12.75">
      <c r="A117" t="s">
        <v>627</v>
      </c>
    </row>
    <row r="118" ht="12.75">
      <c r="A118" t="s">
        <v>553</v>
      </c>
    </row>
    <row r="119" spans="1:3" ht="12.75">
      <c r="A119" t="s">
        <v>628</v>
      </c>
      <c r="B119" s="88">
        <v>600</v>
      </c>
      <c r="C119" s="88">
        <v>0</v>
      </c>
    </row>
    <row r="120" spans="1:3" ht="12.75">
      <c r="A120" t="s">
        <v>629</v>
      </c>
      <c r="B120" s="88">
        <v>57367</v>
      </c>
      <c r="C120" s="88">
        <v>0</v>
      </c>
    </row>
    <row r="121" spans="1:3" ht="12.75">
      <c r="A121" t="s">
        <v>630</v>
      </c>
      <c r="B121" s="88">
        <v>38134</v>
      </c>
      <c r="C121" s="88">
        <v>0</v>
      </c>
    </row>
    <row r="122" ht="12.75">
      <c r="A122" t="s">
        <v>631</v>
      </c>
    </row>
    <row r="123" spans="1:3" ht="12.75">
      <c r="A123" t="s">
        <v>632</v>
      </c>
      <c r="B123" s="88">
        <v>1200</v>
      </c>
      <c r="C123" s="88">
        <v>0</v>
      </c>
    </row>
    <row r="124" spans="1:3" ht="12.75">
      <c r="A124" t="s">
        <v>633</v>
      </c>
      <c r="B124" s="88">
        <v>13203</v>
      </c>
      <c r="C124" s="88">
        <v>0</v>
      </c>
    </row>
    <row r="125" ht="12.75">
      <c r="A125" t="s">
        <v>634</v>
      </c>
    </row>
    <row r="126" spans="1:3" ht="12.75">
      <c r="A126" t="s">
        <v>635</v>
      </c>
      <c r="B126" s="88">
        <v>1650</v>
      </c>
      <c r="C126" s="88">
        <v>0</v>
      </c>
    </row>
    <row r="127" spans="1:3" ht="12.75">
      <c r="A127" t="s">
        <v>636</v>
      </c>
      <c r="B127" s="88">
        <v>360</v>
      </c>
      <c r="C127" s="88">
        <v>0</v>
      </c>
    </row>
    <row r="128" ht="12.75">
      <c r="A128" t="s">
        <v>637</v>
      </c>
    </row>
    <row r="129" spans="1:3" ht="12.75">
      <c r="A129" t="s">
        <v>353</v>
      </c>
      <c r="B129" s="88">
        <v>2820</v>
      </c>
      <c r="C129" s="88">
        <v>0</v>
      </c>
    </row>
    <row r="130" spans="1:3" ht="12.75">
      <c r="A130" t="s">
        <v>638</v>
      </c>
      <c r="B130" s="88">
        <v>221304</v>
      </c>
      <c r="C130" s="88">
        <v>15000</v>
      </c>
    </row>
    <row r="131" spans="1:3" ht="12.75">
      <c r="A131" t="s">
        <v>355</v>
      </c>
      <c r="B131" s="88">
        <v>176812</v>
      </c>
      <c r="C131" s="88">
        <v>0</v>
      </c>
    </row>
    <row r="132" spans="1:3" ht="12.75">
      <c r="A132" t="s">
        <v>639</v>
      </c>
      <c r="B132" s="88">
        <v>18109</v>
      </c>
      <c r="C132" s="88">
        <v>0</v>
      </c>
    </row>
    <row r="133" spans="1:3" ht="12.75">
      <c r="A133" t="s">
        <v>356</v>
      </c>
      <c r="B133" s="88">
        <v>3195</v>
      </c>
      <c r="C133" s="88">
        <v>0</v>
      </c>
    </row>
    <row r="134" ht="12.75">
      <c r="A134" t="s">
        <v>359</v>
      </c>
    </row>
    <row r="135" spans="1:3" ht="12.75">
      <c r="A135" t="s">
        <v>360</v>
      </c>
      <c r="B135" s="88">
        <v>0</v>
      </c>
      <c r="C135" s="88">
        <v>0</v>
      </c>
    </row>
    <row r="136" spans="1:3" ht="12.75">
      <c r="A136" t="s">
        <v>640</v>
      </c>
      <c r="B136" s="88">
        <v>167251</v>
      </c>
      <c r="C136" s="88">
        <v>0</v>
      </c>
    </row>
    <row r="137" ht="12.75">
      <c r="A137" t="s">
        <v>641</v>
      </c>
    </row>
    <row r="138" spans="1:3" ht="12.75">
      <c r="A138" t="s">
        <v>736</v>
      </c>
      <c r="B138" s="88">
        <v>589990</v>
      </c>
      <c r="C138" s="88">
        <v>649884</v>
      </c>
    </row>
    <row r="139" ht="12.75">
      <c r="A139" t="s">
        <v>643</v>
      </c>
    </row>
    <row r="140" ht="12.75">
      <c r="A140" t="s">
        <v>644</v>
      </c>
    </row>
    <row r="141" spans="1:3" ht="12.75">
      <c r="A141" t="s">
        <v>759</v>
      </c>
      <c r="B141" s="88">
        <v>319042</v>
      </c>
      <c r="C141" s="88">
        <v>649884</v>
      </c>
    </row>
    <row r="142" spans="1:3" ht="12.75">
      <c r="A142" t="s">
        <v>645</v>
      </c>
      <c r="B142" s="88">
        <v>142887</v>
      </c>
      <c r="C142" s="88">
        <v>513482</v>
      </c>
    </row>
    <row r="143" spans="1:3" ht="12.75">
      <c r="A143" t="s">
        <v>646</v>
      </c>
      <c r="B143" s="88">
        <v>176155</v>
      </c>
      <c r="C143" s="88">
        <v>136402</v>
      </c>
    </row>
    <row r="144" spans="1:3" ht="12.75">
      <c r="A144" t="s">
        <v>760</v>
      </c>
      <c r="B144" s="88">
        <v>270948</v>
      </c>
      <c r="C144" s="88">
        <v>0</v>
      </c>
    </row>
    <row r="145" ht="12.75">
      <c r="A145" t="s">
        <v>655</v>
      </c>
    </row>
    <row r="146" spans="1:3" ht="12.75">
      <c r="A146" t="s">
        <v>761</v>
      </c>
      <c r="B146" s="88">
        <v>25121</v>
      </c>
      <c r="C146" s="88">
        <v>0</v>
      </c>
    </row>
    <row r="147" spans="1:3" ht="12.75">
      <c r="A147" t="s">
        <v>657</v>
      </c>
      <c r="B147" s="88">
        <v>245827</v>
      </c>
      <c r="C147" s="88">
        <v>0</v>
      </c>
    </row>
    <row r="148" ht="12.75">
      <c r="A148" t="s">
        <v>658</v>
      </c>
    </row>
    <row r="149" ht="12.75">
      <c r="A149" t="s">
        <v>648</v>
      </c>
    </row>
    <row r="150" spans="1:3" ht="12.75">
      <c r="A150" t="s">
        <v>649</v>
      </c>
      <c r="B150" s="88">
        <v>0</v>
      </c>
      <c r="C150" s="88">
        <v>1816680</v>
      </c>
    </row>
    <row r="151" spans="1:3" ht="12.75">
      <c r="A151" t="s">
        <v>737</v>
      </c>
      <c r="B151" s="88">
        <v>0</v>
      </c>
      <c r="C151" s="88">
        <v>1470530</v>
      </c>
    </row>
    <row r="152" spans="1:3" ht="12.75">
      <c r="A152" t="s">
        <v>651</v>
      </c>
      <c r="B152" s="88">
        <v>0</v>
      </c>
      <c r="C152" s="88">
        <v>346150</v>
      </c>
    </row>
    <row r="153" spans="1:3" ht="12.75">
      <c r="A153" t="s">
        <v>652</v>
      </c>
      <c r="B153" s="88">
        <v>0</v>
      </c>
      <c r="C153" s="88">
        <v>204782</v>
      </c>
    </row>
    <row r="154" spans="1:3" ht="12.75">
      <c r="A154" t="s">
        <v>653</v>
      </c>
      <c r="B154" s="88">
        <v>0</v>
      </c>
      <c r="C154" s="88">
        <v>141368</v>
      </c>
    </row>
    <row r="155" spans="1:3" ht="12.75">
      <c r="A155" t="s">
        <v>105</v>
      </c>
      <c r="B155" s="88">
        <v>0</v>
      </c>
      <c r="C155" s="88">
        <v>19211838.36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2" max="3" width="12.57421875" style="109" bestFit="1" customWidth="1"/>
    <col min="4" max="4" width="12.00390625" style="109" bestFit="1" customWidth="1"/>
    <col min="5" max="5" width="12.57421875" style="109" bestFit="1" customWidth="1"/>
    <col min="6" max="7" width="0" style="0" hidden="1" customWidth="1"/>
    <col min="8" max="8" width="17.57421875" style="0" bestFit="1" customWidth="1"/>
    <col min="10" max="10" width="10.7109375" style="0" bestFit="1" customWidth="1"/>
  </cols>
  <sheetData>
    <row r="1" ht="12.75">
      <c r="A1" s="73" t="s">
        <v>174</v>
      </c>
    </row>
    <row r="2" ht="12.75">
      <c r="A2" s="74" t="s">
        <v>175</v>
      </c>
    </row>
    <row r="3" ht="12.75">
      <c r="A3" s="74" t="s">
        <v>176</v>
      </c>
    </row>
    <row r="4" ht="12.75">
      <c r="A4" s="74"/>
    </row>
    <row r="5" spans="1:8" ht="12.75">
      <c r="A5" s="75" t="s">
        <v>178</v>
      </c>
      <c r="B5" s="110" t="s">
        <v>467</v>
      </c>
      <c r="C5" s="900" t="s">
        <v>468</v>
      </c>
      <c r="D5" s="901"/>
      <c r="E5" s="110" t="s">
        <v>469</v>
      </c>
      <c r="H5" t="s">
        <v>489</v>
      </c>
    </row>
    <row r="6" spans="1:5" ht="12.75">
      <c r="A6" s="77" t="s">
        <v>177</v>
      </c>
      <c r="B6" s="110" t="s">
        <v>470</v>
      </c>
      <c r="C6" s="110" t="s">
        <v>179</v>
      </c>
      <c r="D6" s="110" t="s">
        <v>180</v>
      </c>
      <c r="E6" s="110" t="s">
        <v>470</v>
      </c>
    </row>
    <row r="7" spans="1:5" ht="12.75">
      <c r="A7" s="77"/>
      <c r="B7" s="110"/>
      <c r="C7" s="110"/>
      <c r="D7" s="110"/>
      <c r="E7" s="110"/>
    </row>
    <row r="8" spans="1:10" ht="12.75">
      <c r="A8" s="8" t="s">
        <v>471</v>
      </c>
      <c r="B8" s="111">
        <f>SUM(B9:B13)</f>
        <v>5546685.3</v>
      </c>
      <c r="C8" s="111">
        <f>SUM(C9:C13)</f>
        <v>-51956653.5</v>
      </c>
      <c r="D8" s="111">
        <f>SUM(D9:D13)</f>
        <v>87528531.36</v>
      </c>
      <c r="E8" s="111">
        <f>SUM(E9:E13)</f>
        <v>31108643</v>
      </c>
      <c r="F8">
        <v>41118563.16</v>
      </c>
      <c r="G8">
        <f aca="true" t="shared" si="0" ref="G8:G39">+E8-F8</f>
        <v>-10009920.159999996</v>
      </c>
      <c r="H8">
        <f>+E8-B8</f>
        <v>25561957.7</v>
      </c>
      <c r="J8" s="78" t="e">
        <f>+H8-#REF!-#REF!</f>
        <v>#REF!</v>
      </c>
    </row>
    <row r="9" spans="1:8" ht="12.75">
      <c r="A9" s="7" t="s">
        <v>182</v>
      </c>
      <c r="B9" s="108">
        <v>263748</v>
      </c>
      <c r="C9" s="108">
        <v>-963484</v>
      </c>
      <c r="D9" s="108">
        <v>1106140.5</v>
      </c>
      <c r="E9" s="113">
        <f>399034+347560</f>
        <v>746594</v>
      </c>
      <c r="F9">
        <v>406404.5</v>
      </c>
      <c r="G9">
        <f t="shared" si="0"/>
        <v>340189.5</v>
      </c>
      <c r="H9">
        <f>+E9-B9</f>
        <v>482846</v>
      </c>
    </row>
    <row r="10" spans="1:8" ht="12.75">
      <c r="A10" s="7" t="s">
        <v>183</v>
      </c>
      <c r="B10" s="108">
        <v>431039.5</v>
      </c>
      <c r="C10" s="108">
        <v>-432330.5</v>
      </c>
      <c r="D10" s="108"/>
      <c r="E10" s="111">
        <v>0</v>
      </c>
      <c r="F10">
        <v>-1291</v>
      </c>
      <c r="G10">
        <f t="shared" si="0"/>
        <v>1291</v>
      </c>
      <c r="H10">
        <f>+E10-B10</f>
        <v>-431039.5</v>
      </c>
    </row>
    <row r="11" spans="1:8" ht="12.75">
      <c r="A11" s="7" t="s">
        <v>184</v>
      </c>
      <c r="B11" s="108">
        <v>4851897.8</v>
      </c>
      <c r="C11" s="108">
        <v>-26894611</v>
      </c>
      <c r="D11" s="108">
        <v>35099081.86</v>
      </c>
      <c r="E11" s="113">
        <v>10584359</v>
      </c>
      <c r="F11">
        <v>13056368.659999996</v>
      </c>
      <c r="G11">
        <f t="shared" si="0"/>
        <v>-2472009.6599999964</v>
      </c>
      <c r="H11" s="6">
        <f>+E11-B11</f>
        <v>5732461.2</v>
      </c>
    </row>
    <row r="12" spans="1:8" ht="12.75">
      <c r="A12" s="7" t="s">
        <v>199</v>
      </c>
      <c r="B12" s="108"/>
      <c r="C12" s="108"/>
      <c r="D12" s="108">
        <v>19238288</v>
      </c>
      <c r="E12" s="113">
        <v>12792813</v>
      </c>
      <c r="F12">
        <v>19238288</v>
      </c>
      <c r="G12">
        <f t="shared" si="0"/>
        <v>-6445475</v>
      </c>
      <c r="H12">
        <f aca="true" t="shared" si="1" ref="H12:H42">+E12-B12</f>
        <v>12792813</v>
      </c>
    </row>
    <row r="13" spans="1:8" ht="12.75">
      <c r="A13" s="7" t="s">
        <v>200</v>
      </c>
      <c r="B13" s="108"/>
      <c r="C13" s="108">
        <v>-23666228</v>
      </c>
      <c r="D13" s="108">
        <v>32085021</v>
      </c>
      <c r="E13" s="113">
        <v>6984877</v>
      </c>
      <c r="F13">
        <v>8418793</v>
      </c>
      <c r="G13">
        <f t="shared" si="0"/>
        <v>-1433916</v>
      </c>
      <c r="H13">
        <f t="shared" si="1"/>
        <v>6984877</v>
      </c>
    </row>
    <row r="14" spans="1:8" ht="12.75">
      <c r="A14" s="8" t="s">
        <v>472</v>
      </c>
      <c r="B14" s="111">
        <v>-99062446.99</v>
      </c>
      <c r="C14" s="111">
        <v>-269548</v>
      </c>
      <c r="D14" s="111"/>
      <c r="E14" s="111">
        <v>99354297</v>
      </c>
      <c r="F14">
        <v>-99331994.99</v>
      </c>
      <c r="G14">
        <f t="shared" si="0"/>
        <v>198686291.99</v>
      </c>
      <c r="H14">
        <f t="shared" si="1"/>
        <v>198416743.99</v>
      </c>
    </row>
    <row r="15" spans="1:8" ht="12.75">
      <c r="A15" s="8" t="s">
        <v>473</v>
      </c>
      <c r="B15" s="111">
        <f>SUM(B16:B23)</f>
        <v>-35033244.86</v>
      </c>
      <c r="C15" s="111">
        <f>SUM(C16:C23)</f>
        <v>-51320026</v>
      </c>
      <c r="D15" s="111">
        <f>SUM(D16:D23)</f>
        <v>29881342.08</v>
      </c>
      <c r="E15" s="111">
        <f>SUM(E16:E23)</f>
        <v>-39371523</v>
      </c>
      <c r="F15">
        <v>-55471928.78</v>
      </c>
      <c r="G15">
        <f t="shared" si="0"/>
        <v>16100405.780000001</v>
      </c>
      <c r="H15" s="8">
        <f>SUM(H16:H23)</f>
        <v>-4338278.140000001</v>
      </c>
    </row>
    <row r="16" spans="1:8" ht="12.75">
      <c r="A16" s="7" t="s">
        <v>213</v>
      </c>
      <c r="B16" s="108"/>
      <c r="C16" s="108">
        <v>-5375</v>
      </c>
      <c r="D16" s="108"/>
      <c r="E16" s="111">
        <v>0</v>
      </c>
      <c r="F16">
        <v>-5375</v>
      </c>
      <c r="G16">
        <f t="shared" si="0"/>
        <v>5375</v>
      </c>
      <c r="H16">
        <f t="shared" si="1"/>
        <v>0</v>
      </c>
    </row>
    <row r="17" spans="1:8" ht="12.75">
      <c r="A17" s="7" t="s">
        <v>214</v>
      </c>
      <c r="B17" s="108">
        <v>-71223</v>
      </c>
      <c r="C17" s="108">
        <v>-177550</v>
      </c>
      <c r="D17" s="108">
        <v>175399</v>
      </c>
      <c r="E17" s="111">
        <v>0</v>
      </c>
      <c r="F17">
        <v>-73374</v>
      </c>
      <c r="G17">
        <f t="shared" si="0"/>
        <v>73374</v>
      </c>
      <c r="H17">
        <f t="shared" si="1"/>
        <v>71223</v>
      </c>
    </row>
    <row r="18" spans="1:8" ht="12.75">
      <c r="A18" s="7" t="s">
        <v>215</v>
      </c>
      <c r="B18" s="108">
        <v>-4509</v>
      </c>
      <c r="C18" s="108"/>
      <c r="D18" s="108"/>
      <c r="E18" s="111">
        <v>0</v>
      </c>
      <c r="F18">
        <v>-4509</v>
      </c>
      <c r="G18">
        <f t="shared" si="0"/>
        <v>4509</v>
      </c>
      <c r="H18">
        <f t="shared" si="1"/>
        <v>4509</v>
      </c>
    </row>
    <row r="19" spans="1:8" ht="12.75">
      <c r="A19" s="7" t="s">
        <v>216</v>
      </c>
      <c r="B19" s="108">
        <v>-129500</v>
      </c>
      <c r="C19" s="108">
        <v>-34900</v>
      </c>
      <c r="D19" s="108">
        <v>34950</v>
      </c>
      <c r="E19" s="111">
        <v>0</v>
      </c>
      <c r="F19">
        <v>-129450</v>
      </c>
      <c r="G19">
        <f t="shared" si="0"/>
        <v>129450</v>
      </c>
      <c r="H19">
        <f t="shared" si="1"/>
        <v>129500</v>
      </c>
    </row>
    <row r="20" spans="1:8" ht="12.75">
      <c r="A20" s="7" t="s">
        <v>217</v>
      </c>
      <c r="B20" s="108">
        <v>-205935</v>
      </c>
      <c r="C20" s="108">
        <v>-346754</v>
      </c>
      <c r="D20" s="108">
        <v>188604</v>
      </c>
      <c r="E20" s="111">
        <v>1271232</v>
      </c>
      <c r="F20">
        <v>-364085</v>
      </c>
      <c r="G20">
        <f t="shared" si="0"/>
        <v>1635317</v>
      </c>
      <c r="H20">
        <f t="shared" si="1"/>
        <v>1477167</v>
      </c>
    </row>
    <row r="21" spans="1:8" ht="12.75">
      <c r="A21" s="7" t="s">
        <v>86</v>
      </c>
      <c r="B21" s="108">
        <v>-33465698.86</v>
      </c>
      <c r="C21" s="108">
        <v>-49340635</v>
      </c>
      <c r="D21" s="108">
        <v>28115813.08</v>
      </c>
      <c r="E21" s="113">
        <v>-39545380</v>
      </c>
      <c r="F21">
        <v>-54690520.78</v>
      </c>
      <c r="G21">
        <f t="shared" si="0"/>
        <v>15145140.780000001</v>
      </c>
      <c r="H21" s="6">
        <f t="shared" si="1"/>
        <v>-6079681.140000001</v>
      </c>
    </row>
    <row r="22" spans="1:8" ht="12.75">
      <c r="A22" s="7" t="s">
        <v>474</v>
      </c>
      <c r="B22" s="108">
        <v>-1006852</v>
      </c>
      <c r="C22" s="108">
        <v>-1362451</v>
      </c>
      <c r="D22" s="108">
        <v>1366576</v>
      </c>
      <c r="E22" s="113">
        <v>-1097375</v>
      </c>
      <c r="F22">
        <v>-2727</v>
      </c>
      <c r="G22">
        <f t="shared" si="0"/>
        <v>-1094648</v>
      </c>
      <c r="H22">
        <f t="shared" si="1"/>
        <v>-90523</v>
      </c>
    </row>
    <row r="23" spans="1:8" ht="12.75">
      <c r="A23" s="7" t="s">
        <v>240</v>
      </c>
      <c r="B23" s="108">
        <v>-149527</v>
      </c>
      <c r="C23" s="108">
        <v>-52361</v>
      </c>
      <c r="D23" s="108"/>
      <c r="E23" s="111">
        <v>0</v>
      </c>
      <c r="F23">
        <v>-201888</v>
      </c>
      <c r="G23">
        <f t="shared" si="0"/>
        <v>201888</v>
      </c>
      <c r="H23">
        <f t="shared" si="1"/>
        <v>149527</v>
      </c>
    </row>
    <row r="24" spans="1:9" ht="12.75">
      <c r="A24" s="8" t="s">
        <v>475</v>
      </c>
      <c r="B24" s="111">
        <f>SUM(B25:B42)</f>
        <v>103919564.35</v>
      </c>
      <c r="C24" s="111">
        <f>SUM(C25:C42)</f>
        <v>-107762467</v>
      </c>
      <c r="D24" s="111">
        <f>SUM(D25:D42)</f>
        <v>92109594.1</v>
      </c>
      <c r="E24" s="111">
        <f>SUM(E25:E42)</f>
        <v>88266691.44999999</v>
      </c>
      <c r="F24">
        <v>88266691.45</v>
      </c>
      <c r="G24">
        <f t="shared" si="0"/>
        <v>0</v>
      </c>
      <c r="H24" s="8">
        <f>SUM(H25:H42)</f>
        <v>-15652872.900000006</v>
      </c>
      <c r="I24">
        <f>+H24-H25-H27-H36</f>
        <v>11973946</v>
      </c>
    </row>
    <row r="25" spans="1:8" ht="12.75">
      <c r="A25" s="7" t="s">
        <v>242</v>
      </c>
      <c r="B25" s="108">
        <f>-4318274-6355383.12</f>
        <v>-10673657.120000001</v>
      </c>
      <c r="C25" s="108">
        <f>-32117357.12+6355383.12</f>
        <v>-25761974</v>
      </c>
      <c r="D25" s="108">
        <v>16578636.8</v>
      </c>
      <c r="E25" s="111">
        <f aca="true" t="shared" si="2" ref="E25:E50">+B25+C25+D25</f>
        <v>-19856994.320000004</v>
      </c>
      <c r="F25">
        <v>-19856994.320000004</v>
      </c>
      <c r="G25">
        <f t="shared" si="0"/>
        <v>0</v>
      </c>
      <c r="H25" s="6">
        <f t="shared" si="1"/>
        <v>-9183337.200000003</v>
      </c>
    </row>
    <row r="26" spans="1:8" ht="12.75">
      <c r="A26" s="7" t="s">
        <v>243</v>
      </c>
      <c r="B26" s="108"/>
      <c r="C26" s="108">
        <v>-34475893.3</v>
      </c>
      <c r="D26" s="108">
        <v>34453793.3</v>
      </c>
      <c r="E26" s="111">
        <f t="shared" si="2"/>
        <v>-22100</v>
      </c>
      <c r="F26">
        <v>-22100</v>
      </c>
      <c r="G26">
        <f t="shared" si="0"/>
        <v>0</v>
      </c>
      <c r="H26">
        <f t="shared" si="1"/>
        <v>-22100</v>
      </c>
    </row>
    <row r="27" spans="1:8" ht="12.75">
      <c r="A27" s="7" t="s">
        <v>476</v>
      </c>
      <c r="B27" s="108"/>
      <c r="C27" s="108">
        <v>-39934824.7</v>
      </c>
      <c r="D27" s="108">
        <v>22098879.5</v>
      </c>
      <c r="E27" s="111">
        <f t="shared" si="2"/>
        <v>-17835945.200000003</v>
      </c>
      <c r="F27">
        <v>-17835945.200000003</v>
      </c>
      <c r="G27">
        <f t="shared" si="0"/>
        <v>0</v>
      </c>
      <c r="H27">
        <f t="shared" si="1"/>
        <v>-17835945.200000003</v>
      </c>
    </row>
    <row r="28" spans="1:8" ht="12.75">
      <c r="A28" s="7" t="s">
        <v>477</v>
      </c>
      <c r="B28" s="108"/>
      <c r="C28" s="108">
        <v>-6263</v>
      </c>
      <c r="D28" s="108">
        <v>2488707</v>
      </c>
      <c r="E28" s="111">
        <f t="shared" si="2"/>
        <v>2482444</v>
      </c>
      <c r="F28">
        <v>2482444</v>
      </c>
      <c r="G28">
        <f t="shared" si="0"/>
        <v>0</v>
      </c>
      <c r="H28">
        <f t="shared" si="1"/>
        <v>2482444</v>
      </c>
    </row>
    <row r="29" spans="1:8" ht="12.75">
      <c r="A29" s="7" t="s">
        <v>478</v>
      </c>
      <c r="B29" s="108">
        <v>-294456</v>
      </c>
      <c r="C29" s="108"/>
      <c r="D29" s="108"/>
      <c r="E29" s="111">
        <f t="shared" si="2"/>
        <v>-294456</v>
      </c>
      <c r="F29">
        <v>-294456</v>
      </c>
      <c r="G29">
        <f t="shared" si="0"/>
        <v>0</v>
      </c>
      <c r="H29">
        <f t="shared" si="1"/>
        <v>0</v>
      </c>
    </row>
    <row r="30" spans="1:8" ht="12.75">
      <c r="A30" s="7" t="s">
        <v>247</v>
      </c>
      <c r="B30" s="108">
        <v>-4611407.18</v>
      </c>
      <c r="C30" s="108">
        <v>-53691</v>
      </c>
      <c r="D30" s="108">
        <v>17554</v>
      </c>
      <c r="E30" s="111">
        <f t="shared" si="2"/>
        <v>-4647544.18</v>
      </c>
      <c r="F30">
        <v>-4647544.18</v>
      </c>
      <c r="G30">
        <f t="shared" si="0"/>
        <v>0</v>
      </c>
      <c r="H30">
        <f t="shared" si="1"/>
        <v>-36137</v>
      </c>
    </row>
    <row r="31" spans="1:8" ht="12.75">
      <c r="A31" s="7" t="s">
        <v>479</v>
      </c>
      <c r="B31" s="108">
        <v>-1489265</v>
      </c>
      <c r="C31" s="108"/>
      <c r="D31" s="108"/>
      <c r="E31" s="111">
        <f t="shared" si="2"/>
        <v>-1489265</v>
      </c>
      <c r="F31">
        <v>-1489265</v>
      </c>
      <c r="G31">
        <f t="shared" si="0"/>
        <v>0</v>
      </c>
      <c r="H31">
        <f t="shared" si="1"/>
        <v>0</v>
      </c>
    </row>
    <row r="32" spans="1:8" ht="12.75">
      <c r="A32" s="7" t="s">
        <v>249</v>
      </c>
      <c r="B32" s="108">
        <v>-395036.68</v>
      </c>
      <c r="C32" s="108">
        <v>-599791</v>
      </c>
      <c r="D32" s="108">
        <v>5400</v>
      </c>
      <c r="E32" s="111">
        <f t="shared" si="2"/>
        <v>-989427.6799999999</v>
      </c>
      <c r="F32">
        <v>-989427.68</v>
      </c>
      <c r="G32">
        <f t="shared" si="0"/>
        <v>0</v>
      </c>
      <c r="H32">
        <f t="shared" si="1"/>
        <v>-594391</v>
      </c>
    </row>
    <row r="33" spans="1:8" ht="12.75">
      <c r="A33" s="7" t="s">
        <v>480</v>
      </c>
      <c r="B33" s="108">
        <v>-2524121.83</v>
      </c>
      <c r="C33" s="108">
        <v>-1536628</v>
      </c>
      <c r="D33" s="108">
        <v>178648</v>
      </c>
      <c r="E33" s="111">
        <f t="shared" si="2"/>
        <v>-3882101.83</v>
      </c>
      <c r="F33">
        <v>-3882101.83</v>
      </c>
      <c r="G33">
        <f t="shared" si="0"/>
        <v>0</v>
      </c>
      <c r="H33">
        <f t="shared" si="1"/>
        <v>-1357980</v>
      </c>
    </row>
    <row r="34" spans="1:8" ht="12.75">
      <c r="A34" s="7" t="s">
        <v>251</v>
      </c>
      <c r="B34" s="108">
        <v>-4018794</v>
      </c>
      <c r="C34" s="108"/>
      <c r="D34" s="108">
        <v>8182370</v>
      </c>
      <c r="E34" s="111">
        <f t="shared" si="2"/>
        <v>4163576</v>
      </c>
      <c r="F34">
        <v>4163576</v>
      </c>
      <c r="G34">
        <f t="shared" si="0"/>
        <v>0</v>
      </c>
      <c r="H34">
        <f t="shared" si="1"/>
        <v>8182370</v>
      </c>
    </row>
    <row r="35" spans="1:8" ht="12.75">
      <c r="A35" s="7" t="s">
        <v>252</v>
      </c>
      <c r="B35" s="108">
        <v>-9235428</v>
      </c>
      <c r="C35" s="108">
        <v>-3388141</v>
      </c>
      <c r="D35" s="108">
        <v>7040663</v>
      </c>
      <c r="E35" s="111">
        <f t="shared" si="2"/>
        <v>-5582906</v>
      </c>
      <c r="F35">
        <v>-5582906</v>
      </c>
      <c r="G35">
        <f t="shared" si="0"/>
        <v>0</v>
      </c>
      <c r="H35">
        <f t="shared" si="1"/>
        <v>3652522</v>
      </c>
    </row>
    <row r="36" spans="1:8" ht="12.75">
      <c r="A36" s="7" t="s">
        <v>481</v>
      </c>
      <c r="B36" s="108">
        <f>175859101.74-5607149.8+3036</f>
        <v>170254987.94</v>
      </c>
      <c r="C36" s="108">
        <f>-7187089.8+5682149.8</f>
        <v>-1504940</v>
      </c>
      <c r="D36" s="108">
        <f>975439.5-75000-3036</f>
        <v>897403.5</v>
      </c>
      <c r="E36" s="111">
        <f t="shared" si="2"/>
        <v>169647451.44</v>
      </c>
      <c r="F36">
        <v>169647451.44</v>
      </c>
      <c r="G36">
        <f t="shared" si="0"/>
        <v>0</v>
      </c>
      <c r="H36">
        <f t="shared" si="1"/>
        <v>-607536.5</v>
      </c>
    </row>
    <row r="37" spans="1:8" ht="12.75">
      <c r="A37" s="7" t="s">
        <v>254</v>
      </c>
      <c r="B37" s="108">
        <v>-12056682.5</v>
      </c>
      <c r="C37" s="108">
        <v>-352721</v>
      </c>
      <c r="D37" s="108">
        <v>19939</v>
      </c>
      <c r="E37" s="111">
        <f t="shared" si="2"/>
        <v>-12389464.5</v>
      </c>
      <c r="F37">
        <v>-12389464.5</v>
      </c>
      <c r="G37">
        <f t="shared" si="0"/>
        <v>0</v>
      </c>
      <c r="H37">
        <f t="shared" si="1"/>
        <v>-332782</v>
      </c>
    </row>
    <row r="38" spans="1:8" ht="12.75">
      <c r="A38" s="7" t="s">
        <v>255</v>
      </c>
      <c r="B38" s="108">
        <v>2707620</v>
      </c>
      <c r="C38" s="108"/>
      <c r="D38" s="108"/>
      <c r="E38" s="111">
        <f t="shared" si="2"/>
        <v>2707620</v>
      </c>
      <c r="F38">
        <v>2707620</v>
      </c>
      <c r="G38">
        <f t="shared" si="0"/>
        <v>0</v>
      </c>
      <c r="H38">
        <f t="shared" si="1"/>
        <v>0</v>
      </c>
    </row>
    <row r="39" spans="1:8" ht="12.75">
      <c r="A39" s="7" t="s">
        <v>256</v>
      </c>
      <c r="B39" s="108">
        <v>2170151</v>
      </c>
      <c r="C39" s="108"/>
      <c r="D39" s="108"/>
      <c r="E39" s="111">
        <f t="shared" si="2"/>
        <v>2170151</v>
      </c>
      <c r="F39">
        <v>2170151</v>
      </c>
      <c r="G39">
        <f t="shared" si="0"/>
        <v>0</v>
      </c>
      <c r="H39">
        <f t="shared" si="1"/>
        <v>0</v>
      </c>
    </row>
    <row r="40" spans="1:8" ht="12.75">
      <c r="A40" s="7" t="s">
        <v>257</v>
      </c>
      <c r="B40" s="108">
        <v>-25191803.28</v>
      </c>
      <c r="C40" s="108">
        <v>0</v>
      </c>
      <c r="D40" s="108">
        <v>0</v>
      </c>
      <c r="E40" s="111">
        <f t="shared" si="2"/>
        <v>-25191803.28</v>
      </c>
      <c r="F40">
        <v>-25191803.28</v>
      </c>
      <c r="G40">
        <f aca="true" t="shared" si="3" ref="G40:G56">+E40-F40</f>
        <v>0</v>
      </c>
      <c r="H40">
        <f t="shared" si="1"/>
        <v>0</v>
      </c>
    </row>
    <row r="41" spans="1:8" ht="12.75">
      <c r="A41" s="7" t="s">
        <v>482</v>
      </c>
      <c r="B41" s="108">
        <v>-722543</v>
      </c>
      <c r="C41" s="108"/>
      <c r="D41" s="108"/>
      <c r="E41" s="111">
        <f t="shared" si="2"/>
        <v>-722543</v>
      </c>
      <c r="F41">
        <v>-722543</v>
      </c>
      <c r="G41">
        <f t="shared" si="3"/>
        <v>0</v>
      </c>
      <c r="H41">
        <f t="shared" si="1"/>
        <v>0</v>
      </c>
    </row>
    <row r="42" spans="1:8" ht="12.75">
      <c r="A42" s="7" t="s">
        <v>483</v>
      </c>
      <c r="B42" s="108"/>
      <c r="C42" s="108">
        <v>-147600</v>
      </c>
      <c r="D42" s="108">
        <v>147600</v>
      </c>
      <c r="E42" s="111">
        <f t="shared" si="2"/>
        <v>0</v>
      </c>
      <c r="F42">
        <v>0</v>
      </c>
      <c r="G42">
        <f t="shared" si="3"/>
        <v>0</v>
      </c>
      <c r="H42">
        <f t="shared" si="1"/>
        <v>0</v>
      </c>
    </row>
    <row r="43" spans="1:7" ht="12.75">
      <c r="A43" s="8" t="s">
        <v>259</v>
      </c>
      <c r="B43" s="111"/>
      <c r="C43" s="111">
        <v>-1233970</v>
      </c>
      <c r="D43" s="111">
        <v>51559426.5</v>
      </c>
      <c r="E43" s="111">
        <f t="shared" si="2"/>
        <v>50325456.5</v>
      </c>
      <c r="F43">
        <v>50325456.5</v>
      </c>
      <c r="G43">
        <f t="shared" si="3"/>
        <v>0</v>
      </c>
    </row>
    <row r="44" spans="1:7" ht="12.75">
      <c r="A44" s="8" t="s">
        <v>271</v>
      </c>
      <c r="B44" s="111"/>
      <c r="C44" s="111">
        <v>-41664684.68</v>
      </c>
      <c r="D44" s="111">
        <v>11678597</v>
      </c>
      <c r="E44" s="111">
        <f t="shared" si="2"/>
        <v>-29986087.68</v>
      </c>
      <c r="F44">
        <v>-29986087.68</v>
      </c>
      <c r="G44">
        <f t="shared" si="3"/>
        <v>0</v>
      </c>
    </row>
    <row r="45" spans="1:7" ht="12.75">
      <c r="A45" s="8" t="s">
        <v>484</v>
      </c>
      <c r="B45" s="111"/>
      <c r="C45" s="111">
        <v>-5558241</v>
      </c>
      <c r="D45" s="111">
        <v>1229272</v>
      </c>
      <c r="E45" s="111">
        <f t="shared" si="2"/>
        <v>-4328969</v>
      </c>
      <c r="F45">
        <v>-4328969</v>
      </c>
      <c r="G45">
        <f t="shared" si="3"/>
        <v>0</v>
      </c>
    </row>
    <row r="46" spans="1:7" ht="12.75">
      <c r="A46" s="8" t="s">
        <v>485</v>
      </c>
      <c r="B46" s="111"/>
      <c r="C46" s="111">
        <v>-0.18</v>
      </c>
      <c r="D46" s="111">
        <v>3536</v>
      </c>
      <c r="E46" s="111">
        <f t="shared" si="2"/>
        <v>3535.82</v>
      </c>
      <c r="F46">
        <v>3535.82</v>
      </c>
      <c r="G46">
        <f t="shared" si="3"/>
        <v>0</v>
      </c>
    </row>
    <row r="47" spans="1:7" ht="12.75">
      <c r="A47" s="8" t="s">
        <v>486</v>
      </c>
      <c r="B47" s="111"/>
      <c r="C47" s="111">
        <v>-32767992.37</v>
      </c>
      <c r="D47" s="111">
        <v>5797328.69</v>
      </c>
      <c r="E47" s="111">
        <f t="shared" si="2"/>
        <v>-26970663.68</v>
      </c>
      <c r="F47">
        <v>-26970663.68</v>
      </c>
      <c r="G47">
        <f t="shared" si="3"/>
        <v>0</v>
      </c>
    </row>
    <row r="48" spans="1:7" ht="12.75">
      <c r="A48" s="8" t="s">
        <v>487</v>
      </c>
      <c r="B48" s="111"/>
      <c r="C48" s="111">
        <v>-24597904</v>
      </c>
      <c r="D48" s="111">
        <v>7412265</v>
      </c>
      <c r="E48" s="111">
        <f t="shared" si="2"/>
        <v>-17185639</v>
      </c>
      <c r="F48">
        <v>-17185639</v>
      </c>
      <c r="G48">
        <f t="shared" si="3"/>
        <v>0</v>
      </c>
    </row>
    <row r="49" spans="1:7" ht="12.75">
      <c r="A49" s="8" t="s">
        <v>383</v>
      </c>
      <c r="B49" s="111"/>
      <c r="C49" s="111">
        <v>-210314</v>
      </c>
      <c r="D49" s="111">
        <v>30141908</v>
      </c>
      <c r="E49" s="111">
        <f t="shared" si="2"/>
        <v>29931594</v>
      </c>
      <c r="F49">
        <v>29931594</v>
      </c>
      <c r="G49">
        <f t="shared" si="3"/>
        <v>0</v>
      </c>
    </row>
    <row r="50" spans="1:7" ht="12.75">
      <c r="A50" s="8" t="s">
        <v>105</v>
      </c>
      <c r="B50" s="111">
        <v>23629442.2</v>
      </c>
      <c r="C50" s="111"/>
      <c r="D50" s="111"/>
      <c r="E50" s="111">
        <f t="shared" si="2"/>
        <v>23629442.2</v>
      </c>
      <c r="F50">
        <v>23629442.2</v>
      </c>
      <c r="G50">
        <f t="shared" si="3"/>
        <v>0</v>
      </c>
    </row>
    <row r="51" ht="12.75">
      <c r="G51">
        <f t="shared" si="3"/>
        <v>0</v>
      </c>
    </row>
    <row r="52" spans="1:7" ht="12.75">
      <c r="A52" s="6" t="s">
        <v>387</v>
      </c>
      <c r="B52" s="112">
        <f>+B8+B14+B15+B24+B43+B44+B45+B46+B47+B48+B49+B50</f>
        <v>-1000000.0000000037</v>
      </c>
      <c r="C52" s="112">
        <f>+C8+C14+C15+C24+C43+C44+C45+C46+C47+C48+C49+C50</f>
        <v>-317341800.73</v>
      </c>
      <c r="D52" s="112">
        <f>+D8+D14+D15+D24+D43+D44+D45+D46+D47+D48+D49+D50</f>
        <v>317341800.72999996</v>
      </c>
      <c r="E52" s="112">
        <f>+E8+E14+E15+E24+E43+E44+E45+E46+E47+E48+E49+E50</f>
        <v>204776777.60999995</v>
      </c>
      <c r="G52">
        <f t="shared" si="3"/>
        <v>204776777.60999995</v>
      </c>
    </row>
    <row r="53" spans="5:7" ht="12.75">
      <c r="E53" s="112">
        <f>+B52+C52+D52</f>
        <v>-1000000.0000000596</v>
      </c>
      <c r="G53">
        <f t="shared" si="3"/>
        <v>-1000000.0000000596</v>
      </c>
    </row>
    <row r="54" spans="2:7" ht="12.75">
      <c r="B54" s="109">
        <f>+B24-B52</f>
        <v>104919564.35</v>
      </c>
      <c r="G54">
        <f t="shared" si="3"/>
        <v>0</v>
      </c>
    </row>
    <row r="55" ht="12.75">
      <c r="G55">
        <f t="shared" si="3"/>
        <v>0</v>
      </c>
    </row>
    <row r="56" ht="12.75">
      <c r="G56">
        <f t="shared" si="3"/>
        <v>0</v>
      </c>
    </row>
    <row r="57" ht="12.75">
      <c r="B57" s="109">
        <f>12555500.92-41883302.98</f>
        <v>-29327802.059999995</v>
      </c>
    </row>
    <row r="58" ht="12.75">
      <c r="B58" s="109">
        <f>+B57-B52</f>
        <v>-28327802.05999999</v>
      </c>
    </row>
  </sheetData>
  <mergeCells count="1">
    <mergeCell ref="C5:D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6"/>
  <sheetViews>
    <sheetView zoomScale="80" zoomScaleNormal="80" workbookViewId="0" topLeftCell="A1">
      <selection activeCell="A7" sqref="A7"/>
    </sheetView>
  </sheetViews>
  <sheetFormatPr defaultColWidth="9.140625" defaultRowHeight="12.75"/>
  <cols>
    <col min="1" max="1" width="33.7109375" style="17" customWidth="1"/>
    <col min="2" max="2" width="18.00390625" style="17" customWidth="1"/>
    <col min="3" max="3" width="18.421875" style="17" hidden="1" customWidth="1"/>
    <col min="4" max="4" width="33.7109375" style="17" customWidth="1"/>
    <col min="5" max="5" width="17.57421875" style="17" bestFit="1" customWidth="1"/>
    <col min="6" max="6" width="18.421875" style="17" hidden="1" customWidth="1"/>
    <col min="7" max="16384" width="9.140625" style="17" customWidth="1"/>
  </cols>
  <sheetData>
    <row r="1" spans="1:6" ht="12.75">
      <c r="A1" s="767" t="s">
        <v>24</v>
      </c>
      <c r="B1" s="767"/>
      <c r="C1" s="767"/>
      <c r="D1" s="767"/>
      <c r="E1" s="767"/>
      <c r="F1" s="767"/>
    </row>
    <row r="2" ht="12.75">
      <c r="A2" s="22" t="s">
        <v>463</v>
      </c>
    </row>
    <row r="3" ht="12.75">
      <c r="A3" s="22" t="s">
        <v>464</v>
      </c>
    </row>
    <row r="4" ht="12.75">
      <c r="A4" s="36"/>
    </row>
    <row r="5" spans="1:5" ht="12.75">
      <c r="A5" s="767" t="s">
        <v>17</v>
      </c>
      <c r="B5" s="767"/>
      <c r="C5" s="767"/>
      <c r="D5" s="767"/>
      <c r="E5" s="767"/>
    </row>
    <row r="6" spans="2:3" ht="12.75">
      <c r="B6" s="22"/>
      <c r="C6" s="22"/>
    </row>
    <row r="7" spans="2:3" ht="12.75">
      <c r="B7" s="22"/>
      <c r="C7" s="22"/>
    </row>
    <row r="8" spans="1:6" ht="12.75">
      <c r="A8" s="775" t="s">
        <v>18</v>
      </c>
      <c r="B8" s="902" t="s">
        <v>3</v>
      </c>
      <c r="C8" s="903"/>
      <c r="D8" s="775" t="s">
        <v>114</v>
      </c>
      <c r="E8" s="766" t="s">
        <v>3</v>
      </c>
      <c r="F8" s="766"/>
    </row>
    <row r="9" spans="1:6" ht="12.75">
      <c r="A9" s="775"/>
      <c r="B9" s="21" t="s">
        <v>108</v>
      </c>
      <c r="C9" s="21" t="s">
        <v>109</v>
      </c>
      <c r="D9" s="775"/>
      <c r="E9" s="21" t="s">
        <v>108</v>
      </c>
      <c r="F9" s="21" t="s">
        <v>109</v>
      </c>
    </row>
    <row r="10" spans="1:8" ht="12.75">
      <c r="A10" s="25"/>
      <c r="B10" s="25"/>
      <c r="C10" s="25"/>
      <c r="D10" s="20"/>
      <c r="E10" s="20"/>
      <c r="F10" s="25"/>
      <c r="G10" s="37"/>
      <c r="H10" s="37"/>
    </row>
    <row r="11" spans="1:8" ht="12.75">
      <c r="A11" s="38" t="s">
        <v>102</v>
      </c>
      <c r="B11" s="25"/>
      <c r="C11" s="25"/>
      <c r="D11" s="21" t="s">
        <v>22</v>
      </c>
      <c r="E11" s="20"/>
      <c r="F11" s="25"/>
      <c r="G11" s="37"/>
      <c r="H11" s="37"/>
    </row>
    <row r="12" spans="1:8" ht="12.75">
      <c r="A12" s="39" t="s">
        <v>100</v>
      </c>
      <c r="B12" s="57">
        <v>6852</v>
      </c>
      <c r="C12" s="58"/>
      <c r="D12" s="20" t="s">
        <v>435</v>
      </c>
      <c r="E12" s="53">
        <v>5820</v>
      </c>
      <c r="F12" s="58"/>
      <c r="G12" s="37"/>
      <c r="H12" s="37"/>
    </row>
    <row r="13" spans="1:6" ht="12.75">
      <c r="A13" s="20" t="s">
        <v>93</v>
      </c>
      <c r="B13" s="53">
        <v>0</v>
      </c>
      <c r="C13" s="53"/>
      <c r="D13" s="20" t="s">
        <v>436</v>
      </c>
      <c r="E13" s="53">
        <f>52827-3050</f>
        <v>49777</v>
      </c>
      <c r="F13" s="53"/>
    </row>
    <row r="14" spans="1:6" ht="12.75">
      <c r="A14" s="20"/>
      <c r="B14" s="53"/>
      <c r="C14" s="53"/>
      <c r="D14" s="20" t="s">
        <v>443</v>
      </c>
      <c r="E14" s="53">
        <v>17835945.2</v>
      </c>
      <c r="F14" s="53"/>
    </row>
    <row r="15" spans="1:6" ht="12.75">
      <c r="A15" s="20"/>
      <c r="B15" s="53"/>
      <c r="C15" s="53"/>
      <c r="D15" s="20"/>
      <c r="E15" s="53"/>
      <c r="F15" s="53"/>
    </row>
    <row r="16" spans="1:7" ht="12.75">
      <c r="A16" s="20"/>
      <c r="B16" s="53"/>
      <c r="C16" s="53"/>
      <c r="D16" s="20" t="s">
        <v>437</v>
      </c>
      <c r="E16" s="53">
        <f>88630+150162+11199+905-1000+(17664070+1253191+37126.5)+189770+64767</f>
        <v>19458820.5</v>
      </c>
      <c r="F16" s="53"/>
      <c r="G16" s="17" t="s">
        <v>439</v>
      </c>
    </row>
    <row r="17" spans="1:6" ht="12.75">
      <c r="A17" s="20"/>
      <c r="B17" s="53"/>
      <c r="C17" s="53"/>
      <c r="D17" s="20" t="s">
        <v>438</v>
      </c>
      <c r="E17" s="53">
        <f>60483+260639+2334</f>
        <v>323456</v>
      </c>
      <c r="F17" s="53"/>
    </row>
    <row r="18" spans="1:6" ht="12.75">
      <c r="A18" s="20"/>
      <c r="B18" s="53"/>
      <c r="C18" s="53"/>
      <c r="D18" s="20"/>
      <c r="E18" s="53"/>
      <c r="F18" s="53"/>
    </row>
    <row r="19" spans="1:6" ht="12.75">
      <c r="A19" s="21" t="s">
        <v>19</v>
      </c>
      <c r="B19" s="53"/>
      <c r="C19" s="53"/>
      <c r="D19" s="20" t="s">
        <v>23</v>
      </c>
      <c r="E19" s="53">
        <f>177550+121424-147195-23910+(7000+5000+5100-5000)</f>
        <v>139969</v>
      </c>
      <c r="F19" s="53"/>
    </row>
    <row r="20" spans="1:6" ht="12.75">
      <c r="A20" s="20" t="s">
        <v>445</v>
      </c>
      <c r="B20" s="53">
        <v>894660</v>
      </c>
      <c r="C20" s="53"/>
      <c r="D20" s="20"/>
      <c r="E20" s="53"/>
      <c r="F20" s="53"/>
    </row>
    <row r="21" spans="1:6" ht="12.75">
      <c r="A21" s="20"/>
      <c r="B21" s="53"/>
      <c r="C21" s="53"/>
      <c r="D21" s="20" t="s">
        <v>442</v>
      </c>
      <c r="E21" s="53">
        <v>400</v>
      </c>
      <c r="F21" s="53"/>
    </row>
    <row r="22" spans="1:6" ht="12.75">
      <c r="A22" s="20"/>
      <c r="B22" s="53"/>
      <c r="C22" s="53"/>
      <c r="D22" s="20"/>
      <c r="E22" s="53"/>
      <c r="F22" s="53"/>
    </row>
    <row r="23" spans="1:6" ht="12.75">
      <c r="A23" s="20" t="s">
        <v>20</v>
      </c>
      <c r="B23" s="53">
        <f>601377+24836802-5375</f>
        <v>25432804</v>
      </c>
      <c r="C23" s="53"/>
      <c r="D23" s="21" t="s">
        <v>98</v>
      </c>
      <c r="E23" s="53"/>
      <c r="F23" s="53"/>
    </row>
    <row r="24" spans="1:6" ht="12.75">
      <c r="A24" s="20" t="s">
        <v>444</v>
      </c>
      <c r="B24" s="53">
        <v>14564684.8</v>
      </c>
      <c r="C24" s="53"/>
      <c r="D24" s="20"/>
      <c r="E24" s="53"/>
      <c r="F24" s="53"/>
    </row>
    <row r="25" spans="1:7" ht="12.75">
      <c r="A25" s="20" t="s">
        <v>21</v>
      </c>
      <c r="B25" s="53">
        <v>0</v>
      </c>
      <c r="C25" s="53"/>
      <c r="D25" s="17" t="s">
        <v>440</v>
      </c>
      <c r="E25" s="53">
        <f>104817+172602+82579-1364</f>
        <v>358634</v>
      </c>
      <c r="F25" s="53"/>
      <c r="G25" s="17" t="s">
        <v>441</v>
      </c>
    </row>
    <row r="26" spans="1:6" ht="12.75">
      <c r="A26" s="20"/>
      <c r="B26" s="53"/>
      <c r="C26" s="53"/>
      <c r="D26" s="21"/>
      <c r="E26" s="53"/>
      <c r="F26" s="53"/>
    </row>
    <row r="27" spans="1:6" ht="12.75">
      <c r="A27" s="20" t="s">
        <v>30</v>
      </c>
      <c r="B27" s="53">
        <v>0</v>
      </c>
      <c r="C27" s="53"/>
      <c r="D27" s="20" t="s">
        <v>8</v>
      </c>
      <c r="E27" s="53">
        <f>60249+41065+(5215+17538+35832+693810+26139)+(43824+19908+6340+1200)</f>
        <v>951120</v>
      </c>
      <c r="F27" s="53"/>
    </row>
    <row r="28" spans="1:6" ht="12.75">
      <c r="A28" s="20"/>
      <c r="B28" s="53"/>
      <c r="C28" s="53"/>
      <c r="D28" s="20"/>
      <c r="E28" s="53"/>
      <c r="F28" s="53"/>
    </row>
    <row r="29" spans="1:6" ht="12.75">
      <c r="A29" s="20"/>
      <c r="B29" s="53"/>
      <c r="C29" s="53"/>
      <c r="D29" s="20" t="s">
        <v>5</v>
      </c>
      <c r="E29" s="53">
        <f>921290.5+286728</f>
        <v>1208018.5</v>
      </c>
      <c r="F29" s="53"/>
    </row>
    <row r="30" spans="1:6" ht="12.75">
      <c r="A30" s="20"/>
      <c r="B30" s="53"/>
      <c r="C30" s="53"/>
      <c r="D30" s="20"/>
      <c r="E30" s="53"/>
      <c r="F30" s="53"/>
    </row>
    <row r="31" spans="1:6" ht="12.75">
      <c r="A31" s="20"/>
      <c r="B31" s="53"/>
      <c r="C31" s="53"/>
      <c r="D31" s="20" t="s">
        <v>10</v>
      </c>
      <c r="E31" s="53">
        <f>61114+4000+10000</f>
        <v>75114</v>
      </c>
      <c r="F31" s="53"/>
    </row>
    <row r="32" spans="1:6" ht="12.75">
      <c r="A32" s="20"/>
      <c r="B32" s="53"/>
      <c r="C32" s="53"/>
      <c r="D32" s="20"/>
      <c r="E32" s="53"/>
      <c r="F32" s="53"/>
    </row>
    <row r="33" spans="1:6" ht="12.75">
      <c r="A33" s="20"/>
      <c r="B33" s="53"/>
      <c r="C33" s="53"/>
      <c r="D33" s="20" t="s">
        <v>9</v>
      </c>
      <c r="E33" s="53">
        <f>49081+8484+4186+(1656+29842*0+90+32427*0+2800+10784*0+170)+884-50+7500+1348+(541+9295+136696+52297+4609)</f>
        <v>279587</v>
      </c>
      <c r="F33" s="53"/>
    </row>
    <row r="34" spans="1:6" ht="12.75">
      <c r="A34" s="20"/>
      <c r="B34" s="53"/>
      <c r="C34" s="53"/>
      <c r="D34" s="20"/>
      <c r="E34" s="53"/>
      <c r="F34" s="53"/>
    </row>
    <row r="35" spans="1:6" ht="12.75">
      <c r="A35" s="20"/>
      <c r="B35" s="53"/>
      <c r="C35" s="53"/>
      <c r="D35" s="20" t="s">
        <v>11</v>
      </c>
      <c r="E35" s="53">
        <f>123427+(1160+11973)</f>
        <v>136560</v>
      </c>
      <c r="F35" s="53"/>
    </row>
    <row r="36" spans="1:6" ht="12.75">
      <c r="A36" s="20"/>
      <c r="B36" s="53"/>
      <c r="C36" s="53"/>
      <c r="D36" s="21"/>
      <c r="E36" s="53"/>
      <c r="F36" s="53"/>
    </row>
    <row r="37" spans="1:6" ht="12.75">
      <c r="A37" s="20"/>
      <c r="B37" s="53"/>
      <c r="C37" s="53"/>
      <c r="D37" s="20" t="s">
        <v>99</v>
      </c>
      <c r="E37" s="53"/>
      <c r="F37" s="53"/>
    </row>
    <row r="38" spans="1:6" ht="12.75">
      <c r="A38" s="20"/>
      <c r="B38" s="53"/>
      <c r="C38" s="53"/>
      <c r="D38" s="20"/>
      <c r="E38" s="53"/>
      <c r="F38" s="53"/>
    </row>
    <row r="39" spans="1:7" ht="12.75">
      <c r="A39" s="20"/>
      <c r="B39" s="53"/>
      <c r="C39" s="53"/>
      <c r="D39" s="20" t="s">
        <v>30</v>
      </c>
      <c r="E39" s="53">
        <f>29842+32427+10784</f>
        <v>73053</v>
      </c>
      <c r="F39" s="53"/>
      <c r="G39" s="17" t="s">
        <v>446</v>
      </c>
    </row>
    <row r="40" spans="1:6" ht="12.75">
      <c r="A40" s="20"/>
      <c r="B40" s="53"/>
      <c r="C40" s="53"/>
      <c r="D40" s="20"/>
      <c r="E40" s="53"/>
      <c r="F40" s="53"/>
    </row>
    <row r="41" spans="1:6" ht="12.75">
      <c r="A41" s="20"/>
      <c r="B41" s="53"/>
      <c r="C41" s="53"/>
      <c r="D41" s="21" t="s">
        <v>101</v>
      </c>
      <c r="E41" s="53"/>
      <c r="F41" s="53"/>
    </row>
    <row r="42" spans="1:6" ht="12.75">
      <c r="A42" s="20"/>
      <c r="B42" s="53"/>
      <c r="C42" s="53"/>
      <c r="D42" s="20" t="s">
        <v>100</v>
      </c>
      <c r="E42" s="53">
        <v>2727</v>
      </c>
      <c r="F42" s="53"/>
    </row>
    <row r="43" spans="1:6" ht="12.75">
      <c r="A43" s="20"/>
      <c r="B43" s="53"/>
      <c r="C43" s="53"/>
      <c r="D43" s="20" t="s">
        <v>93</v>
      </c>
      <c r="E43" s="53">
        <v>0</v>
      </c>
      <c r="F43" s="53"/>
    </row>
    <row r="44" spans="1:6" ht="12.75">
      <c r="A44" s="20"/>
      <c r="B44" s="53"/>
      <c r="C44" s="53"/>
      <c r="D44" s="20"/>
      <c r="E44" s="53"/>
      <c r="F44" s="53"/>
    </row>
    <row r="45" spans="1:6" ht="12.75">
      <c r="A45" s="21" t="s">
        <v>34</v>
      </c>
      <c r="B45" s="54">
        <f>SUM(B12:B44)</f>
        <v>40899000.8</v>
      </c>
      <c r="C45" s="53"/>
      <c r="D45" s="21" t="s">
        <v>34</v>
      </c>
      <c r="E45" s="54">
        <f>SUM(E12:E44)</f>
        <v>40899001.2</v>
      </c>
      <c r="F45" s="53"/>
    </row>
    <row r="46" spans="1:6" ht="12.75">
      <c r="A46" s="20"/>
      <c r="B46" s="53"/>
      <c r="C46" s="53"/>
      <c r="D46" s="20"/>
      <c r="E46" s="53">
        <f>+B45-E45</f>
        <v>-0.4000000059604645</v>
      </c>
      <c r="F46" s="53"/>
    </row>
  </sheetData>
  <mergeCells count="6">
    <mergeCell ref="A1:F1"/>
    <mergeCell ref="B8:C8"/>
    <mergeCell ref="E8:F8"/>
    <mergeCell ref="A8:A9"/>
    <mergeCell ref="D8:D9"/>
    <mergeCell ref="A5:E5"/>
  </mergeCells>
  <printOptions horizontalCentered="1"/>
  <pageMargins left="0.33" right="0.25" top="0.54" bottom="0.56" header="0.5" footer="0.5"/>
  <pageSetup horizontalDpi="300" verticalDpi="3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5" sqref="B15"/>
    </sheetView>
  </sheetViews>
  <sheetFormatPr defaultColWidth="9.140625" defaultRowHeight="12.75"/>
  <cols>
    <col min="1" max="1" width="6.421875" style="0" customWidth="1"/>
    <col min="2" max="2" width="24.28125" style="0" customWidth="1"/>
  </cols>
  <sheetData>
    <row r="1" spans="1:7" ht="12.75">
      <c r="A1" s="899" t="s">
        <v>175</v>
      </c>
      <c r="B1" s="899"/>
      <c r="C1" s="899"/>
      <c r="G1">
        <v>95885</v>
      </c>
    </row>
    <row r="2" spans="1:3" ht="12.75">
      <c r="A2" s="899" t="s">
        <v>713</v>
      </c>
      <c r="B2" s="899"/>
      <c r="C2" s="899"/>
    </row>
    <row r="3" spans="1:3" ht="12.75">
      <c r="A3" s="180"/>
      <c r="B3" s="180"/>
      <c r="C3" s="180"/>
    </row>
    <row r="4" ht="12.75">
      <c r="A4" s="6" t="s">
        <v>699</v>
      </c>
    </row>
    <row r="6" spans="1:3" ht="12.75">
      <c r="A6" s="13" t="s">
        <v>685</v>
      </c>
      <c r="B6" s="181" t="s">
        <v>178</v>
      </c>
      <c r="C6" s="13" t="s">
        <v>3</v>
      </c>
    </row>
    <row r="7" spans="1:3" ht="12.75">
      <c r="A7" s="13" t="s">
        <v>700</v>
      </c>
      <c r="B7" s="13"/>
      <c r="C7" s="13" t="s">
        <v>466</v>
      </c>
    </row>
    <row r="8" spans="1:3" ht="12.75">
      <c r="A8" s="14"/>
      <c r="B8" s="7"/>
      <c r="C8" s="7"/>
    </row>
    <row r="9" spans="1:3" ht="12.75">
      <c r="A9" s="14">
        <v>1</v>
      </c>
      <c r="B9" s="7" t="s">
        <v>605</v>
      </c>
      <c r="C9" s="7">
        <f>9480+17000+10000*0+7000</f>
        <v>33480</v>
      </c>
    </row>
    <row r="10" spans="1:3" ht="12.75">
      <c r="A10" s="14">
        <v>2</v>
      </c>
      <c r="B10" s="7" t="s">
        <v>701</v>
      </c>
      <c r="C10" s="7">
        <f>2919+5510</f>
        <v>8429</v>
      </c>
    </row>
    <row r="11" spans="1:3" ht="12.75">
      <c r="A11" s="14">
        <v>3</v>
      </c>
      <c r="B11" s="7" t="s">
        <v>702</v>
      </c>
      <c r="C11" s="7">
        <v>16650</v>
      </c>
    </row>
    <row r="12" spans="1:3" ht="12.75">
      <c r="A12" s="14">
        <v>4</v>
      </c>
      <c r="B12" s="7" t="s">
        <v>703</v>
      </c>
      <c r="C12" s="7">
        <v>1425</v>
      </c>
    </row>
    <row r="13" spans="1:3" ht="12.75">
      <c r="A13" s="14">
        <v>5</v>
      </c>
      <c r="B13" s="7" t="s">
        <v>704</v>
      </c>
      <c r="C13" s="7">
        <v>900</v>
      </c>
    </row>
    <row r="14" spans="1:3" ht="12.75">
      <c r="A14" s="14">
        <v>6</v>
      </c>
      <c r="B14" s="7" t="s">
        <v>705</v>
      </c>
      <c r="C14" s="7">
        <v>1603</v>
      </c>
    </row>
    <row r="15" spans="1:3" ht="12.75">
      <c r="A15" s="14">
        <v>7</v>
      </c>
      <c r="B15" s="7" t="s">
        <v>706</v>
      </c>
      <c r="C15" s="7">
        <f>2444+1766</f>
        <v>4210</v>
      </c>
    </row>
    <row r="16" spans="1:3" ht="12.75">
      <c r="A16" s="14">
        <v>8</v>
      </c>
      <c r="B16" s="7" t="s">
        <v>707</v>
      </c>
      <c r="C16" s="7">
        <v>5344</v>
      </c>
    </row>
    <row r="17" spans="1:3" ht="12.75">
      <c r="A17" s="14">
        <v>9</v>
      </c>
      <c r="B17" s="7" t="s">
        <v>708</v>
      </c>
      <c r="C17" s="7">
        <v>6454</v>
      </c>
    </row>
    <row r="18" spans="1:3" ht="12.75">
      <c r="A18" s="14">
        <v>10</v>
      </c>
      <c r="B18" s="7" t="s">
        <v>710</v>
      </c>
      <c r="C18" s="7">
        <f>3375+1046</f>
        <v>4421</v>
      </c>
    </row>
    <row r="19" spans="1:3" ht="12.75">
      <c r="A19" s="14">
        <v>11</v>
      </c>
      <c r="B19" s="7" t="s">
        <v>711</v>
      </c>
      <c r="C19" s="7">
        <v>5391</v>
      </c>
    </row>
    <row r="20" spans="1:3" ht="12.75">
      <c r="A20" s="14">
        <v>12</v>
      </c>
      <c r="B20" s="7" t="s">
        <v>712</v>
      </c>
      <c r="C20" s="7">
        <v>2531</v>
      </c>
    </row>
    <row r="21" spans="1:3" ht="12.75">
      <c r="A21" s="14">
        <v>13</v>
      </c>
      <c r="B21" s="7" t="s">
        <v>709</v>
      </c>
      <c r="C21" s="7">
        <f>95885-90838</f>
        <v>5047</v>
      </c>
    </row>
    <row r="22" spans="1:3" ht="12.75">
      <c r="A22" s="14"/>
      <c r="B22" s="7"/>
      <c r="C22" s="7"/>
    </row>
    <row r="23" spans="1:3" ht="12.75">
      <c r="A23" s="14"/>
      <c r="B23" s="8" t="s">
        <v>34</v>
      </c>
      <c r="C23" s="8">
        <f>SUM(C9:C22)</f>
        <v>95885</v>
      </c>
    </row>
    <row r="24" ht="12.75">
      <c r="A24" s="126"/>
    </row>
    <row r="25" ht="12.75">
      <c r="A25" s="126"/>
    </row>
    <row r="26" ht="12.75">
      <c r="A26" s="12" t="s">
        <v>714</v>
      </c>
    </row>
    <row r="27" ht="12.75">
      <c r="A27" s="126"/>
    </row>
    <row r="28" spans="1:3" ht="12.75">
      <c r="A28" s="14">
        <v>1</v>
      </c>
      <c r="B28" s="7" t="s">
        <v>715</v>
      </c>
      <c r="C28" s="7">
        <v>61701</v>
      </c>
    </row>
    <row r="29" spans="1:3" ht="12.75">
      <c r="A29" s="14">
        <v>2</v>
      </c>
      <c r="B29" s="7" t="s">
        <v>306</v>
      </c>
      <c r="C29" s="7"/>
    </row>
    <row r="30" spans="1:3" ht="12.75">
      <c r="A30" s="14" t="s">
        <v>719</v>
      </c>
      <c r="B30" s="7" t="s">
        <v>716</v>
      </c>
      <c r="C30" s="7">
        <f>4960+7742</f>
        <v>12702</v>
      </c>
    </row>
    <row r="31" spans="1:3" ht="12.75">
      <c r="A31" s="14" t="s">
        <v>720</v>
      </c>
      <c r="B31" s="7" t="s">
        <v>718</v>
      </c>
      <c r="C31" s="7">
        <f>153235-C30-C32-C33</f>
        <v>42958</v>
      </c>
    </row>
    <row r="32" spans="1:3" ht="12.75">
      <c r="A32" s="14" t="s">
        <v>721</v>
      </c>
      <c r="B32" s="7" t="s">
        <v>717</v>
      </c>
      <c r="C32" s="7">
        <v>61440</v>
      </c>
    </row>
    <row r="33" spans="1:3" ht="12.75">
      <c r="A33" s="14" t="s">
        <v>722</v>
      </c>
      <c r="B33" s="7" t="s">
        <v>723</v>
      </c>
      <c r="C33" s="7">
        <f>25982+10153</f>
        <v>36135</v>
      </c>
    </row>
    <row r="34" spans="1:3" ht="12.75">
      <c r="A34" s="14"/>
      <c r="B34" s="8" t="s">
        <v>34</v>
      </c>
      <c r="C34" s="8">
        <f>SUM(C28:C33)</f>
        <v>214936</v>
      </c>
    </row>
    <row r="37" ht="12.75">
      <c r="A37" s="12" t="s">
        <v>724</v>
      </c>
    </row>
    <row r="39" spans="1:3" ht="12.75">
      <c r="A39" s="7">
        <v>1</v>
      </c>
      <c r="B39" s="7" t="s">
        <v>725</v>
      </c>
      <c r="C39" s="7">
        <v>22374</v>
      </c>
    </row>
    <row r="40" spans="1:3" ht="12.75">
      <c r="A40" s="7">
        <v>2</v>
      </c>
      <c r="B40" s="7" t="s">
        <v>726</v>
      </c>
      <c r="C40" s="7">
        <v>8679</v>
      </c>
    </row>
    <row r="41" spans="1:3" ht="12.75">
      <c r="A41" s="7">
        <v>3</v>
      </c>
      <c r="B41" s="7" t="s">
        <v>727</v>
      </c>
      <c r="C41" s="7">
        <v>294</v>
      </c>
    </row>
    <row r="42" spans="1:3" ht="12.75">
      <c r="A42" s="7"/>
      <c r="B42" s="8" t="s">
        <v>34</v>
      </c>
      <c r="C42" s="8">
        <f>SUM(C39:C41)</f>
        <v>31347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4">
      <selection activeCell="B33" sqref="B33"/>
    </sheetView>
  </sheetViews>
  <sheetFormatPr defaultColWidth="9.140625" defaultRowHeight="12.75"/>
  <cols>
    <col min="1" max="1" width="28.140625" style="205" customWidth="1"/>
    <col min="2" max="2" width="11.28125" style="205" bestFit="1" customWidth="1"/>
    <col min="3" max="3" width="11.28125" style="205" customWidth="1"/>
    <col min="4" max="4" width="10.28125" style="205" bestFit="1" customWidth="1"/>
    <col min="5" max="16384" width="9.140625" style="205" customWidth="1"/>
  </cols>
  <sheetData>
    <row r="1" spans="1:3" ht="12.75">
      <c r="A1" s="899" t="s">
        <v>175</v>
      </c>
      <c r="B1" s="899"/>
      <c r="C1" s="180"/>
    </row>
    <row r="2" spans="1:3" ht="12.75">
      <c r="A2" s="899" t="s">
        <v>769</v>
      </c>
      <c r="B2" s="899"/>
      <c r="C2" s="180"/>
    </row>
    <row r="3" spans="1:3" ht="12.75">
      <c r="A3" s="180"/>
      <c r="B3" s="180"/>
      <c r="C3" s="180"/>
    </row>
    <row r="4" ht="12.75">
      <c r="A4" s="184" t="s">
        <v>732</v>
      </c>
    </row>
    <row r="6" spans="2:4" ht="12.75">
      <c r="B6" s="182" t="s">
        <v>753</v>
      </c>
      <c r="C6" s="182"/>
      <c r="D6" s="183"/>
    </row>
    <row r="8" ht="12.75">
      <c r="A8" s="184" t="s">
        <v>449</v>
      </c>
    </row>
    <row r="9" spans="1:3" ht="12.75">
      <c r="A9" s="206" t="s">
        <v>728</v>
      </c>
      <c r="B9" s="183">
        <v>31089130.62</v>
      </c>
      <c r="C9" s="183"/>
    </row>
    <row r="10" spans="1:2" ht="12.75">
      <c r="A10" s="206" t="s">
        <v>729</v>
      </c>
      <c r="B10" s="205">
        <v>6524724</v>
      </c>
    </row>
    <row r="11" spans="1:3" ht="12.75">
      <c r="A11" s="206"/>
      <c r="B11" s="183">
        <f>+B9+B10</f>
        <v>37613854.620000005</v>
      </c>
      <c r="C11" s="183"/>
    </row>
    <row r="12" spans="1:2" ht="12.75">
      <c r="A12" s="206" t="s">
        <v>730</v>
      </c>
      <c r="B12" s="205">
        <v>2947724</v>
      </c>
    </row>
    <row r="13" spans="1:2" ht="12.75">
      <c r="A13" s="206" t="s">
        <v>731</v>
      </c>
      <c r="B13" s="205">
        <v>0</v>
      </c>
    </row>
    <row r="14" spans="1:3" ht="12.75">
      <c r="A14" s="206" t="s">
        <v>101</v>
      </c>
      <c r="B14" s="183">
        <f>+B11-B12</f>
        <v>34666130.620000005</v>
      </c>
      <c r="C14" s="183"/>
    </row>
    <row r="18" ht="12.75">
      <c r="A18" s="184" t="s">
        <v>733</v>
      </c>
    </row>
    <row r="19" spans="1:6" ht="12.75">
      <c r="A19" s="206" t="s">
        <v>728</v>
      </c>
      <c r="B19" s="183">
        <v>9757762.32</v>
      </c>
      <c r="C19" s="183"/>
      <c r="D19" s="207" t="s">
        <v>771</v>
      </c>
      <c r="E19" s="207" t="s">
        <v>772</v>
      </c>
      <c r="F19" s="207" t="s">
        <v>500</v>
      </c>
    </row>
    <row r="20" spans="1:6" ht="12.75">
      <c r="A20" s="206" t="s">
        <v>729</v>
      </c>
      <c r="B20" s="205">
        <f>+D20+E20+F20-285276</f>
        <v>1075449</v>
      </c>
      <c r="D20" s="205">
        <v>432055</v>
      </c>
      <c r="E20" s="205">
        <v>419701</v>
      </c>
      <c r="F20" s="205">
        <v>508969</v>
      </c>
    </row>
    <row r="21" spans="1:3" ht="12.75">
      <c r="A21" s="206"/>
      <c r="B21" s="183">
        <f>+B19+B20</f>
        <v>10833211.32</v>
      </c>
      <c r="C21" s="183"/>
    </row>
    <row r="22" spans="1:2" ht="12.75">
      <c r="A22" s="206" t="s">
        <v>730</v>
      </c>
      <c r="B22" s="205">
        <f>+B21-B24</f>
        <v>5107567.5</v>
      </c>
    </row>
    <row r="23" spans="1:2" ht="12.75">
      <c r="A23" s="206" t="s">
        <v>731</v>
      </c>
      <c r="B23" s="205">
        <v>0</v>
      </c>
    </row>
    <row r="24" spans="1:3" ht="12.75">
      <c r="A24" s="206" t="s">
        <v>101</v>
      </c>
      <c r="B24" s="183">
        <v>5725643.82</v>
      </c>
      <c r="C24" s="183"/>
    </row>
    <row r="25" ht="12.75">
      <c r="A25" s="206"/>
    </row>
    <row r="26" ht="12.75">
      <c r="A26" s="206"/>
    </row>
    <row r="27" ht="12.75">
      <c r="A27" s="184" t="s">
        <v>34</v>
      </c>
    </row>
    <row r="28" spans="1:3" ht="12.75">
      <c r="A28" s="206" t="s">
        <v>728</v>
      </c>
      <c r="B28" s="183">
        <f>+B9+B19</f>
        <v>40846892.94</v>
      </c>
      <c r="C28" s="183"/>
    </row>
    <row r="29" spans="1:5" ht="12.75">
      <c r="A29" s="206" t="s">
        <v>729</v>
      </c>
      <c r="B29" s="208">
        <f>+B10+B20</f>
        <v>7600173</v>
      </c>
      <c r="C29" s="208"/>
      <c r="D29" s="205">
        <f>+'[5]PL..'!L26</f>
        <v>7600172.72</v>
      </c>
      <c r="E29" s="205">
        <f>+B29-D29</f>
        <v>0.2800000002607703</v>
      </c>
    </row>
    <row r="30" spans="1:3" ht="12.75">
      <c r="A30" s="206"/>
      <c r="B30" s="183">
        <f>+B28+B29</f>
        <v>48447065.94</v>
      </c>
      <c r="C30" s="183"/>
    </row>
    <row r="31" spans="1:3" ht="12.75">
      <c r="A31" s="206" t="s">
        <v>730</v>
      </c>
      <c r="B31" s="208">
        <f>+B12+B22</f>
        <v>8055291.5</v>
      </c>
      <c r="C31" s="208"/>
    </row>
    <row r="32" spans="1:3" ht="12.75">
      <c r="A32" s="206" t="s">
        <v>731</v>
      </c>
      <c r="B32" s="183">
        <f>+B13+B23</f>
        <v>0</v>
      </c>
      <c r="C32" s="183"/>
    </row>
    <row r="33" spans="1:3" ht="12.75">
      <c r="A33" s="206" t="s">
        <v>101</v>
      </c>
      <c r="B33" s="183">
        <f>+B30-B31</f>
        <v>40391774.44</v>
      </c>
      <c r="C33" s="183"/>
    </row>
    <row r="34" ht="12.75">
      <c r="A34" s="206"/>
    </row>
    <row r="35" ht="12.75">
      <c r="A35" s="206"/>
    </row>
    <row r="36" ht="12.75">
      <c r="A36" s="206"/>
    </row>
    <row r="37" ht="12.75">
      <c r="A37" s="206"/>
    </row>
    <row r="38" ht="12.75">
      <c r="A38" s="206"/>
    </row>
    <row r="39" ht="12.75">
      <c r="A39" s="206"/>
    </row>
    <row r="40" ht="12.75">
      <c r="A40" s="206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B3">
      <selection activeCell="E18" sqref="E18"/>
    </sheetView>
  </sheetViews>
  <sheetFormatPr defaultColWidth="9.140625" defaultRowHeight="12.75"/>
  <cols>
    <col min="1" max="1" width="20.28125" style="0" bestFit="1" customWidth="1"/>
    <col min="2" max="2" width="12.28125" style="0" customWidth="1"/>
    <col min="4" max="4" width="11.28125" style="0" bestFit="1" customWidth="1"/>
    <col min="7" max="7" width="14.140625" style="0" customWidth="1"/>
  </cols>
  <sheetData>
    <row r="1" spans="1:4" ht="12.75">
      <c r="A1" s="899" t="s">
        <v>175</v>
      </c>
      <c r="B1" s="899"/>
      <c r="C1" s="899"/>
      <c r="D1" s="899"/>
    </row>
    <row r="3" ht="12.75">
      <c r="A3" s="172" t="s">
        <v>497</v>
      </c>
    </row>
    <row r="4" spans="2:4" ht="12.75">
      <c r="B4" s="171"/>
      <c r="C4" s="171"/>
      <c r="D4" s="171"/>
    </row>
    <row r="5" spans="1:4" ht="12.75">
      <c r="A5" s="8" t="s">
        <v>178</v>
      </c>
      <c r="B5" s="13" t="s">
        <v>693</v>
      </c>
      <c r="C5" s="13" t="s">
        <v>498</v>
      </c>
      <c r="D5" s="13" t="s">
        <v>499</v>
      </c>
    </row>
    <row r="6" spans="1:4" ht="12.75">
      <c r="A6" s="8"/>
      <c r="B6" s="13"/>
      <c r="C6" s="13" t="s">
        <v>694</v>
      </c>
      <c r="D6" s="13"/>
    </row>
    <row r="7" spans="1:4" ht="12.75">
      <c r="A7" s="7" t="s">
        <v>500</v>
      </c>
      <c r="B7" s="203">
        <v>508969</v>
      </c>
      <c r="C7" s="14">
        <v>5</v>
      </c>
      <c r="D7" s="203">
        <f aca="true" t="shared" si="0" ref="D7:D14">+B7*C7/100</f>
        <v>25448.45</v>
      </c>
    </row>
    <row r="8" spans="1:4" ht="12.75">
      <c r="A8" s="7" t="s">
        <v>501</v>
      </c>
      <c r="B8" s="203">
        <v>428259</v>
      </c>
      <c r="C8" s="14">
        <v>2</v>
      </c>
      <c r="D8" s="203">
        <f t="shared" si="0"/>
        <v>8565.18</v>
      </c>
    </row>
    <row r="9" spans="1:4" ht="12.75">
      <c r="A9" s="7" t="s">
        <v>502</v>
      </c>
      <c r="B9" s="203">
        <v>419701</v>
      </c>
      <c r="C9" s="14">
        <v>5</v>
      </c>
      <c r="D9" s="203">
        <f t="shared" si="0"/>
        <v>20985.05</v>
      </c>
    </row>
    <row r="10" spans="1:4" ht="12.75">
      <c r="A10" s="7" t="s">
        <v>503</v>
      </c>
      <c r="B10" s="203">
        <v>0</v>
      </c>
      <c r="C10" s="14">
        <v>2</v>
      </c>
      <c r="D10" s="203">
        <f t="shared" si="0"/>
        <v>0</v>
      </c>
    </row>
    <row r="11" spans="1:4" ht="12.75">
      <c r="A11" s="7" t="s">
        <v>504</v>
      </c>
      <c r="B11" s="203">
        <v>0</v>
      </c>
      <c r="C11" s="14">
        <v>2</v>
      </c>
      <c r="D11" s="203">
        <f t="shared" si="0"/>
        <v>0</v>
      </c>
    </row>
    <row r="12" spans="1:4" ht="12.75">
      <c r="A12" s="7" t="s">
        <v>505</v>
      </c>
      <c r="B12" s="203">
        <v>5572078</v>
      </c>
      <c r="C12" s="14">
        <v>2</v>
      </c>
      <c r="D12" s="203">
        <f t="shared" si="0"/>
        <v>111441.56</v>
      </c>
    </row>
    <row r="13" spans="1:4" ht="12.75">
      <c r="A13" s="7" t="s">
        <v>506</v>
      </c>
      <c r="B13" s="203">
        <v>507409</v>
      </c>
      <c r="C13" s="14">
        <v>2</v>
      </c>
      <c r="D13" s="203">
        <f t="shared" si="0"/>
        <v>10148.18</v>
      </c>
    </row>
    <row r="14" spans="1:4" ht="12.75">
      <c r="A14" s="7" t="s">
        <v>507</v>
      </c>
      <c r="B14" s="203">
        <v>0</v>
      </c>
      <c r="C14" s="14">
        <v>2</v>
      </c>
      <c r="D14" s="203">
        <f t="shared" si="0"/>
        <v>0</v>
      </c>
    </row>
    <row r="15" spans="1:4" ht="12.75">
      <c r="A15" s="7" t="s">
        <v>734</v>
      </c>
      <c r="B15" s="203">
        <v>11189</v>
      </c>
      <c r="C15" s="14">
        <v>2</v>
      </c>
      <c r="D15" s="203">
        <f>+B15*C15/100</f>
        <v>223.78</v>
      </c>
    </row>
    <row r="16" spans="1:4" ht="12.75">
      <c r="A16" s="7"/>
      <c r="B16" s="204">
        <f>SUM(B7:B15)</f>
        <v>7447605</v>
      </c>
      <c r="C16" s="7"/>
      <c r="D16" s="204">
        <f>SUM(D7:D15)</f>
        <v>176812.19999999998</v>
      </c>
    </row>
    <row r="17" spans="1:4" ht="12.75">
      <c r="A17" s="185"/>
      <c r="B17" s="186"/>
      <c r="C17" s="15"/>
      <c r="D17" s="186"/>
    </row>
    <row r="18" spans="1:4" ht="12.75">
      <c r="A18" s="198"/>
      <c r="B18" s="186"/>
      <c r="C18" s="15"/>
      <c r="D18" s="186"/>
    </row>
    <row r="19" spans="1:4" ht="12.75">
      <c r="A19" s="15"/>
      <c r="B19" s="186"/>
      <c r="C19" s="15"/>
      <c r="D19" s="186"/>
    </row>
    <row r="20" spans="1:4" ht="12.75">
      <c r="A20" s="15"/>
      <c r="B20" s="186"/>
      <c r="C20" s="15"/>
      <c r="D20" s="186"/>
    </row>
    <row r="21" spans="1:4" ht="12.75">
      <c r="A21" s="15"/>
      <c r="B21" s="172"/>
      <c r="C21" s="15"/>
      <c r="D21" s="172"/>
    </row>
    <row r="22" ht="12.75">
      <c r="D22" s="6"/>
    </row>
    <row r="24" spans="1:8" ht="12.75">
      <c r="A24" s="15"/>
      <c r="B24" s="15"/>
      <c r="C24" s="15"/>
      <c r="D24" s="15"/>
      <c r="E24" s="15"/>
      <c r="F24" s="15"/>
      <c r="G24" s="15"/>
      <c r="H24" s="15"/>
    </row>
    <row r="25" spans="1:8" ht="15.75">
      <c r="A25" s="15"/>
      <c r="B25" s="15"/>
      <c r="C25" s="15"/>
      <c r="D25" s="15"/>
      <c r="E25" s="15"/>
      <c r="F25" s="15"/>
      <c r="G25" s="194"/>
      <c r="H25" s="15"/>
    </row>
    <row r="26" spans="1:8" ht="12.75">
      <c r="A26" s="15"/>
      <c r="B26" s="15"/>
      <c r="C26" s="15"/>
      <c r="D26" s="195"/>
      <c r="E26" s="15"/>
      <c r="F26" s="15"/>
      <c r="G26" s="15"/>
      <c r="H26" s="15"/>
    </row>
    <row r="27" spans="1:8" ht="15.75">
      <c r="A27" s="15"/>
      <c r="B27" s="15"/>
      <c r="C27" s="15"/>
      <c r="D27" s="195"/>
      <c r="E27" s="15"/>
      <c r="F27" s="15"/>
      <c r="G27" s="194"/>
      <c r="H27" s="15"/>
    </row>
    <row r="28" spans="1:8" ht="15.75">
      <c r="A28" s="15"/>
      <c r="B28" s="15"/>
      <c r="C28" s="15"/>
      <c r="D28" s="195"/>
      <c r="E28" s="15"/>
      <c r="F28" s="15"/>
      <c r="G28" s="194"/>
      <c r="H28" s="15"/>
    </row>
    <row r="29" spans="1:8" ht="15.75">
      <c r="A29" s="15"/>
      <c r="B29" s="15"/>
      <c r="C29" s="15"/>
      <c r="D29" s="195"/>
      <c r="E29" s="15"/>
      <c r="F29" s="15"/>
      <c r="G29" s="187"/>
      <c r="H29" s="15"/>
    </row>
    <row r="30" spans="1:8" ht="12.75">
      <c r="A30" s="15"/>
      <c r="B30" s="15"/>
      <c r="C30" s="15"/>
      <c r="D30" s="195"/>
      <c r="E30" s="15"/>
      <c r="F30" s="15"/>
      <c r="G30" s="15"/>
      <c r="H30" s="15"/>
    </row>
    <row r="31" spans="1:8" ht="12.75">
      <c r="A31" s="15"/>
      <c r="B31" s="15"/>
      <c r="C31" s="15"/>
      <c r="D31" s="195"/>
      <c r="E31" s="15"/>
      <c r="F31" s="15"/>
      <c r="G31" s="15"/>
      <c r="H31" s="15"/>
    </row>
    <row r="32" spans="1:8" ht="12.75">
      <c r="A32" s="15"/>
      <c r="B32" s="15"/>
      <c r="C32" s="15"/>
      <c r="D32" s="15"/>
      <c r="E32" s="15"/>
      <c r="F32" s="15"/>
      <c r="G32" s="15"/>
      <c r="H32" s="15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5" sqref="A5:E5"/>
    </sheetView>
  </sheetViews>
  <sheetFormatPr defaultColWidth="9.140625" defaultRowHeight="12.75"/>
  <cols>
    <col min="1" max="1" width="44.140625" style="1" bestFit="1" customWidth="1"/>
    <col min="2" max="2" width="2.28125" style="1" customWidth="1"/>
    <col min="3" max="3" width="14.421875" style="1" bestFit="1" customWidth="1"/>
    <col min="4" max="4" width="2.421875" style="1" customWidth="1"/>
    <col min="5" max="5" width="15.00390625" style="1" customWidth="1"/>
    <col min="6" max="6" width="13.28125" style="1" customWidth="1"/>
    <col min="7" max="7" width="12.421875" style="1" bestFit="1" customWidth="1"/>
    <col min="8" max="8" width="17.57421875" style="1" bestFit="1" customWidth="1"/>
    <col min="9" max="16384" width="9.140625" style="1" customWidth="1"/>
  </cols>
  <sheetData>
    <row r="1" spans="1:6" ht="12.75">
      <c r="A1" s="767" t="s">
        <v>24</v>
      </c>
      <c r="B1" s="767"/>
      <c r="C1" s="767"/>
      <c r="D1" s="767"/>
      <c r="E1" s="767"/>
      <c r="F1" s="18"/>
    </row>
    <row r="2" spans="1:6" ht="12.75">
      <c r="A2" s="22" t="s">
        <v>775</v>
      </c>
      <c r="B2" s="17"/>
      <c r="C2" s="17"/>
      <c r="D2" s="17"/>
      <c r="E2" s="17"/>
      <c r="F2" s="17"/>
    </row>
    <row r="3" spans="1:6" ht="12.75">
      <c r="A3" s="22" t="s">
        <v>750</v>
      </c>
      <c r="B3" s="17"/>
      <c r="C3" s="17"/>
      <c r="D3" s="17"/>
      <c r="E3" s="17"/>
      <c r="F3" s="17"/>
    </row>
    <row r="4" spans="1:6" ht="12.75">
      <c r="A4" s="36"/>
      <c r="B4" s="17"/>
      <c r="C4" s="17"/>
      <c r="D4" s="17"/>
      <c r="E4" s="17"/>
      <c r="F4" s="17"/>
    </row>
    <row r="5" spans="1:6" ht="12.75">
      <c r="A5" s="767" t="s">
        <v>17</v>
      </c>
      <c r="B5" s="767"/>
      <c r="C5" s="767"/>
      <c r="D5" s="767"/>
      <c r="E5" s="767"/>
      <c r="F5" s="18"/>
    </row>
    <row r="6" spans="1:6" ht="12.75">
      <c r="A6" s="18"/>
      <c r="B6" s="18"/>
      <c r="C6" s="18"/>
      <c r="D6" s="18"/>
      <c r="E6" s="18"/>
      <c r="F6" s="18"/>
    </row>
    <row r="7" spans="1:6" ht="12.75">
      <c r="A7" s="59" t="s">
        <v>178</v>
      </c>
      <c r="B7" s="67"/>
      <c r="C7" s="68"/>
      <c r="D7" s="60"/>
      <c r="E7" s="71" t="s">
        <v>3</v>
      </c>
      <c r="F7" s="2"/>
    </row>
    <row r="8" spans="1:6" ht="12.75">
      <c r="A8" s="69"/>
      <c r="B8" s="69"/>
      <c r="C8" s="72" t="s">
        <v>466</v>
      </c>
      <c r="D8" s="70"/>
      <c r="E8" s="72" t="s">
        <v>466</v>
      </c>
      <c r="F8" s="2"/>
    </row>
    <row r="9" spans="1:8" ht="12.75">
      <c r="A9" s="61" t="s">
        <v>525</v>
      </c>
      <c r="B9" s="63"/>
      <c r="C9" s="64"/>
      <c r="D9" s="63"/>
      <c r="E9" s="62">
        <v>-210663</v>
      </c>
      <c r="F9" s="41"/>
      <c r="G9" s="40"/>
      <c r="H9" s="40"/>
    </row>
    <row r="10" spans="1:8" ht="12.75">
      <c r="A10" s="63" t="s">
        <v>13</v>
      </c>
      <c r="B10" s="63"/>
      <c r="C10" s="64"/>
      <c r="D10" s="63"/>
      <c r="E10" s="64">
        <v>272000</v>
      </c>
      <c r="F10" s="40"/>
      <c r="G10" s="40"/>
      <c r="H10" s="40"/>
    </row>
    <row r="11" spans="1:8" ht="12.75">
      <c r="A11" s="61" t="s">
        <v>447</v>
      </c>
      <c r="B11" s="63"/>
      <c r="C11" s="64"/>
      <c r="D11" s="63"/>
      <c r="E11" s="62">
        <f>+E9+E10</f>
        <v>61337</v>
      </c>
      <c r="F11" s="41"/>
      <c r="G11" s="40"/>
      <c r="H11" s="40"/>
    </row>
    <row r="12" spans="1:8" ht="12.75">
      <c r="A12" s="63"/>
      <c r="B12" s="63"/>
      <c r="C12" s="64"/>
      <c r="D12" s="63"/>
      <c r="E12" s="64"/>
      <c r="F12" s="40"/>
      <c r="G12" s="40"/>
      <c r="H12" s="40"/>
    </row>
    <row r="13" spans="1:8" ht="12.75">
      <c r="A13" s="61" t="s">
        <v>448</v>
      </c>
      <c r="B13" s="63"/>
      <c r="C13" s="64"/>
      <c r="D13" s="63"/>
      <c r="E13" s="62">
        <f>-(C14-C19)</f>
        <v>-1432625</v>
      </c>
      <c r="F13" s="40"/>
      <c r="G13" s="40"/>
      <c r="H13" s="40"/>
    </row>
    <row r="14" spans="1:8" ht="12.75">
      <c r="A14" s="61" t="s">
        <v>212</v>
      </c>
      <c r="B14" s="63"/>
      <c r="C14" s="62">
        <f>SUM(C15:C18)</f>
        <v>1278111</v>
      </c>
      <c r="D14" s="61"/>
      <c r="E14" s="64"/>
      <c r="F14" s="40"/>
      <c r="G14" s="40"/>
      <c r="H14" s="40"/>
    </row>
    <row r="15" spans="1:8" ht="12.75">
      <c r="A15" s="63" t="s">
        <v>449</v>
      </c>
      <c r="B15" s="63"/>
      <c r="C15" s="64">
        <v>685190</v>
      </c>
      <c r="D15" s="63"/>
      <c r="E15" s="64"/>
      <c r="F15" s="40"/>
      <c r="G15" s="40"/>
      <c r="H15" s="40"/>
    </row>
    <row r="16" spans="1:8" ht="12.75">
      <c r="A16" s="63" t="s">
        <v>452</v>
      </c>
      <c r="B16" s="63"/>
      <c r="C16" s="64">
        <v>0</v>
      </c>
      <c r="D16" s="63"/>
      <c r="E16" s="64"/>
      <c r="F16" s="40"/>
      <c r="G16" s="40"/>
      <c r="H16" s="40"/>
    </row>
    <row r="17" spans="1:8" ht="12.75">
      <c r="A17" s="63" t="s">
        <v>38</v>
      </c>
      <c r="B17" s="63"/>
      <c r="C17" s="64">
        <v>-1500</v>
      </c>
      <c r="D17" s="63"/>
      <c r="E17" s="64"/>
      <c r="F17" s="40"/>
      <c r="G17" s="40"/>
      <c r="H17" s="40"/>
    </row>
    <row r="18" spans="1:8" ht="12.75">
      <c r="A18" s="63" t="s">
        <v>488</v>
      </c>
      <c r="B18" s="63"/>
      <c r="C18" s="64">
        <v>594421</v>
      </c>
      <c r="D18" s="63"/>
      <c r="E18" s="64"/>
      <c r="F18" s="40"/>
      <c r="G18" s="40"/>
      <c r="H18" s="40"/>
    </row>
    <row r="19" spans="1:8" ht="12.75">
      <c r="A19" s="61" t="s">
        <v>181</v>
      </c>
      <c r="B19" s="63"/>
      <c r="C19" s="62">
        <f>+C20+C21</f>
        <v>-154514</v>
      </c>
      <c r="D19" s="61"/>
      <c r="E19" s="64"/>
      <c r="F19" s="40"/>
      <c r="G19" s="40"/>
      <c r="H19" s="40"/>
    </row>
    <row r="20" spans="1:8" ht="12.75">
      <c r="A20" s="63" t="s">
        <v>450</v>
      </c>
      <c r="B20" s="63"/>
      <c r="C20" s="64">
        <v>-852627</v>
      </c>
      <c r="D20" s="63"/>
      <c r="E20" s="64"/>
      <c r="F20" s="40"/>
      <c r="G20" s="40"/>
      <c r="H20" s="40"/>
    </row>
    <row r="21" spans="1:8" ht="12.75">
      <c r="A21" s="63" t="s">
        <v>38</v>
      </c>
      <c r="B21" s="63"/>
      <c r="C21" s="64">
        <f>976113-278000</f>
        <v>698113</v>
      </c>
      <c r="D21" s="63"/>
      <c r="E21" s="64"/>
      <c r="F21" s="40"/>
      <c r="G21" s="40" t="s">
        <v>774</v>
      </c>
      <c r="H21" s="40">
        <f>1507000+531000+150000</f>
        <v>2188000</v>
      </c>
    </row>
    <row r="22" spans="1:8" ht="12.75">
      <c r="A22" s="63"/>
      <c r="B22" s="63"/>
      <c r="C22" s="64"/>
      <c r="D22" s="63"/>
      <c r="E22" s="64"/>
      <c r="F22" s="40"/>
      <c r="G22" s="40"/>
      <c r="H22" s="40"/>
    </row>
    <row r="23" spans="1:8" ht="12.75">
      <c r="A23" s="61" t="s">
        <v>490</v>
      </c>
      <c r="B23" s="63"/>
      <c r="C23" s="64">
        <v>140059</v>
      </c>
      <c r="D23" s="63"/>
      <c r="E23" s="64">
        <f>+C23</f>
        <v>140059</v>
      </c>
      <c r="F23" s="40"/>
      <c r="G23" s="40"/>
      <c r="H23" s="40"/>
    </row>
    <row r="24" spans="1:8" ht="12.75">
      <c r="A24" s="61"/>
      <c r="B24" s="63"/>
      <c r="C24" s="64"/>
      <c r="D24" s="63"/>
      <c r="E24" s="64"/>
      <c r="F24" s="40"/>
      <c r="G24" s="40"/>
      <c r="H24" s="40"/>
    </row>
    <row r="25" spans="1:8" ht="12.75">
      <c r="A25" s="63"/>
      <c r="B25" s="63"/>
      <c r="C25" s="64"/>
      <c r="D25" s="63"/>
      <c r="E25" s="64"/>
      <c r="F25" s="40"/>
      <c r="G25" s="40"/>
      <c r="H25" s="40"/>
    </row>
    <row r="26" spans="1:8" ht="12.75">
      <c r="A26" s="61" t="s">
        <v>451</v>
      </c>
      <c r="B26" s="63"/>
      <c r="C26" s="64"/>
      <c r="D26" s="63"/>
      <c r="F26" s="40">
        <v>4393395</v>
      </c>
      <c r="G26" s="40"/>
      <c r="H26" s="40"/>
    </row>
    <row r="27" spans="1:8" ht="12.75">
      <c r="A27" s="61" t="s">
        <v>776</v>
      </c>
      <c r="B27" s="63"/>
      <c r="C27" s="64"/>
      <c r="D27" s="63"/>
      <c r="E27" s="64">
        <v>54586</v>
      </c>
      <c r="F27" s="40"/>
      <c r="G27" s="40"/>
      <c r="H27" s="40"/>
    </row>
    <row r="28" spans="1:8" ht="12.75">
      <c r="A28" s="61" t="s">
        <v>777</v>
      </c>
      <c r="B28" s="63"/>
      <c r="C28" s="64"/>
      <c r="D28" s="63"/>
      <c r="E28" s="64">
        <f>+E13+E23+E27</f>
        <v>-1237980</v>
      </c>
      <c r="F28" s="40"/>
      <c r="G28" s="40"/>
      <c r="H28" s="40"/>
    </row>
    <row r="29" spans="1:8" ht="12.75">
      <c r="A29" s="61"/>
      <c r="B29" s="63"/>
      <c r="C29" s="64"/>
      <c r="D29" s="63"/>
      <c r="E29" s="62"/>
      <c r="F29" s="40"/>
      <c r="G29" s="40"/>
      <c r="H29" s="40"/>
    </row>
    <row r="30" spans="1:8" ht="12.75">
      <c r="A30" s="65" t="s">
        <v>770</v>
      </c>
      <c r="B30" s="65"/>
      <c r="C30" s="66"/>
      <c r="D30" s="65"/>
      <c r="E30" s="79"/>
      <c r="F30" s="40" t="s">
        <v>773</v>
      </c>
      <c r="G30" s="40">
        <f>971454.5-867346</f>
        <v>104108.5</v>
      </c>
      <c r="H30" s="40"/>
    </row>
    <row r="31" ht="12.75">
      <c r="F31" s="40">
        <f>+F26+G30</f>
        <v>4497503.5</v>
      </c>
    </row>
    <row r="32" ht="12.75">
      <c r="F32" s="40">
        <f>+E28-F31</f>
        <v>-5735483.5</v>
      </c>
    </row>
  </sheetData>
  <mergeCells count="2">
    <mergeCell ref="A1:E1"/>
    <mergeCell ref="A5:E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1" width="9.140625" style="17" customWidth="1"/>
    <col min="2" max="2" width="48.140625" style="17" bestFit="1" customWidth="1"/>
    <col min="3" max="3" width="9.140625" style="17" customWidth="1"/>
    <col min="4" max="4" width="17.28125" style="17" bestFit="1" customWidth="1"/>
    <col min="5" max="5" width="9.140625" style="17" customWidth="1"/>
    <col min="6" max="7" width="0" style="17" hidden="1" customWidth="1"/>
    <col min="8" max="16384" width="9.140625" style="17" customWidth="1"/>
  </cols>
  <sheetData>
    <row r="1" spans="1:7" ht="12.75">
      <c r="A1" s="767" t="s">
        <v>24</v>
      </c>
      <c r="B1" s="767"/>
      <c r="C1" s="767"/>
      <c r="D1" s="767"/>
      <c r="E1" s="767"/>
      <c r="F1" s="767"/>
      <c r="G1" s="767"/>
    </row>
    <row r="2" spans="1:2" ht="12.75">
      <c r="A2" s="2" t="s">
        <v>168</v>
      </c>
      <c r="B2" s="2" t="s">
        <v>169</v>
      </c>
    </row>
    <row r="3" spans="1:2" ht="12.75">
      <c r="A3" s="2" t="s">
        <v>171</v>
      </c>
      <c r="B3" s="2" t="s">
        <v>170</v>
      </c>
    </row>
    <row r="4" spans="1:2" ht="12.75">
      <c r="A4" s="1"/>
      <c r="B4" s="1"/>
    </row>
    <row r="5" spans="1:7" ht="12.75">
      <c r="A5" s="767" t="s">
        <v>147</v>
      </c>
      <c r="B5" s="767"/>
      <c r="C5" s="767"/>
      <c r="D5" s="767"/>
      <c r="E5" s="767"/>
      <c r="F5" s="767"/>
      <c r="G5" s="767"/>
    </row>
    <row r="6" ht="12.75"/>
    <row r="7" spans="1:7" ht="12.75">
      <c r="A7" s="768"/>
      <c r="B7" s="769" t="s">
        <v>16</v>
      </c>
      <c r="C7" s="771"/>
      <c r="D7" s="766" t="s">
        <v>72</v>
      </c>
      <c r="E7" s="766"/>
      <c r="F7" s="766" t="s">
        <v>72</v>
      </c>
      <c r="G7" s="766"/>
    </row>
    <row r="8" spans="1:7" ht="12.75">
      <c r="A8" s="768"/>
      <c r="B8" s="770"/>
      <c r="C8" s="772"/>
      <c r="D8" s="19" t="s">
        <v>3</v>
      </c>
      <c r="E8" s="19" t="s">
        <v>15</v>
      </c>
      <c r="F8" s="19" t="s">
        <v>3</v>
      </c>
      <c r="G8" s="19" t="s">
        <v>15</v>
      </c>
    </row>
    <row r="9" spans="1:7" ht="12.75">
      <c r="A9" s="20"/>
      <c r="B9" s="21" t="s">
        <v>25</v>
      </c>
      <c r="C9" s="20"/>
      <c r="D9" s="20"/>
      <c r="E9" s="20"/>
      <c r="F9" s="20"/>
      <c r="G9" s="20"/>
    </row>
    <row r="10" spans="1:7" ht="12.75">
      <c r="A10" s="20"/>
      <c r="B10" s="21"/>
      <c r="C10" s="20"/>
      <c r="D10" s="20"/>
      <c r="E10" s="20"/>
      <c r="F10" s="20"/>
      <c r="G10" s="20"/>
    </row>
    <row r="11" spans="1:7" ht="12.75">
      <c r="A11" s="20"/>
      <c r="B11" s="20" t="s">
        <v>26</v>
      </c>
      <c r="C11" s="20"/>
      <c r="D11" s="20">
        <f>12730992+31138484+6990097+18582</f>
        <v>50878155</v>
      </c>
      <c r="E11" s="20"/>
      <c r="F11" s="20"/>
      <c r="G11" s="20"/>
    </row>
    <row r="12" spans="1:7" ht="12.75">
      <c r="A12" s="20"/>
      <c r="B12" s="20" t="s">
        <v>27</v>
      </c>
      <c r="C12" s="20"/>
      <c r="D12" s="20">
        <f>23683.5+13159</f>
        <v>36842.5</v>
      </c>
      <c r="E12" s="20"/>
      <c r="F12" s="20"/>
      <c r="G12" s="20"/>
    </row>
    <row r="13" spans="1:7" ht="12.75">
      <c r="A13" s="20"/>
      <c r="B13" s="20" t="s">
        <v>28</v>
      </c>
      <c r="C13" s="20"/>
      <c r="D13" s="20">
        <f>25006175-874</f>
        <v>25005301</v>
      </c>
      <c r="E13" s="20"/>
      <c r="F13" s="20"/>
      <c r="G13" s="20"/>
    </row>
    <row r="14" spans="1:7" ht="12.75">
      <c r="A14" s="20"/>
      <c r="B14" s="20" t="s">
        <v>29</v>
      </c>
      <c r="C14" s="20"/>
      <c r="D14" s="20"/>
      <c r="E14" s="20"/>
      <c r="F14" s="20"/>
      <c r="G14" s="20"/>
    </row>
    <row r="15" spans="1:7" ht="12.75">
      <c r="A15" s="20"/>
      <c r="B15" s="20" t="s">
        <v>30</v>
      </c>
      <c r="C15" s="20"/>
      <c r="D15" s="17">
        <f>211533+79997</f>
        <v>291530</v>
      </c>
      <c r="E15" s="20"/>
      <c r="F15" s="20"/>
      <c r="G15" s="20"/>
    </row>
    <row r="16" spans="1:7" ht="12.75">
      <c r="A16" s="20"/>
      <c r="B16" s="20" t="s">
        <v>14</v>
      </c>
      <c r="C16" s="20"/>
      <c r="D16" s="20">
        <f>44000+16080+1839+500+3035.82</f>
        <v>65454.82</v>
      </c>
      <c r="E16" s="20"/>
      <c r="F16" s="20"/>
      <c r="G16" s="20"/>
    </row>
    <row r="17" spans="1:7" ht="12.75">
      <c r="A17" s="20"/>
      <c r="B17" s="20"/>
      <c r="C17" s="20"/>
      <c r="D17" s="20"/>
      <c r="E17" s="20"/>
      <c r="F17" s="20"/>
      <c r="G17" s="20"/>
    </row>
    <row r="18" spans="1:7" ht="12.75">
      <c r="A18" s="21" t="s">
        <v>41</v>
      </c>
      <c r="B18" s="21" t="s">
        <v>60</v>
      </c>
      <c r="C18" s="20"/>
      <c r="D18" s="20"/>
      <c r="E18" s="20"/>
      <c r="F18" s="20"/>
      <c r="G18" s="20"/>
    </row>
    <row r="19" spans="1:7" ht="12.75">
      <c r="A19" s="20"/>
      <c r="B19" s="21"/>
      <c r="C19" s="20"/>
      <c r="D19" s="20"/>
      <c r="E19" s="20"/>
      <c r="F19" s="20"/>
      <c r="G19" s="20"/>
    </row>
    <row r="20" spans="1:7" ht="12.75">
      <c r="A20" s="20"/>
      <c r="B20" s="20" t="s">
        <v>26</v>
      </c>
      <c r="C20" s="20"/>
      <c r="D20" s="20">
        <v>646000</v>
      </c>
      <c r="E20" s="20"/>
      <c r="F20" s="20"/>
      <c r="G20" s="20"/>
    </row>
    <row r="21" spans="1:7" ht="12.75">
      <c r="A21" s="20"/>
      <c r="B21" s="20" t="s">
        <v>27</v>
      </c>
      <c r="C21" s="20"/>
      <c r="D21" s="20"/>
      <c r="E21" s="20"/>
      <c r="F21" s="20"/>
      <c r="G21" s="20"/>
    </row>
    <row r="22" spans="1:7" ht="12.75">
      <c r="A22" s="20"/>
      <c r="B22" s="20" t="s">
        <v>28</v>
      </c>
      <c r="C22" s="20"/>
      <c r="D22" s="20"/>
      <c r="E22" s="20"/>
      <c r="F22" s="20"/>
      <c r="G22" s="20"/>
    </row>
    <row r="23" spans="1:7" ht="12.75">
      <c r="A23" s="20"/>
      <c r="B23" s="20" t="s">
        <v>29</v>
      </c>
      <c r="C23" s="20"/>
      <c r="D23" s="20"/>
      <c r="E23" s="20"/>
      <c r="F23" s="20"/>
      <c r="G23" s="20"/>
    </row>
    <row r="24" spans="1:7" ht="12.75">
      <c r="A24" s="20"/>
      <c r="B24" s="20" t="s">
        <v>30</v>
      </c>
      <c r="C24" s="20"/>
      <c r="D24" s="20"/>
      <c r="E24" s="20"/>
      <c r="F24" s="20"/>
      <c r="G24" s="20"/>
    </row>
    <row r="25" spans="1:7" ht="12.75">
      <c r="A25" s="20"/>
      <c r="B25" s="21" t="s">
        <v>34</v>
      </c>
      <c r="C25" s="20"/>
      <c r="D25" s="21">
        <f>SUM(D11:D17)-SUM(D19:D24)</f>
        <v>75631283.32</v>
      </c>
      <c r="E25" s="20"/>
      <c r="F25" s="20"/>
      <c r="G25" s="20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12.75">
      <c r="A27" s="21"/>
      <c r="B27" s="21" t="s">
        <v>32</v>
      </c>
      <c r="C27" s="20"/>
      <c r="D27" s="20">
        <v>0</v>
      </c>
      <c r="E27" s="20"/>
      <c r="F27" s="20"/>
      <c r="G27" s="20"/>
    </row>
    <row r="28" spans="1:7" ht="12.75">
      <c r="A28" s="21"/>
      <c r="B28" s="21"/>
      <c r="C28" s="20"/>
      <c r="D28" s="20"/>
      <c r="E28" s="20"/>
      <c r="F28" s="20"/>
      <c r="G28" s="20"/>
    </row>
    <row r="29" spans="1:7" ht="12.75">
      <c r="A29" s="21"/>
      <c r="B29" s="21" t="s">
        <v>2</v>
      </c>
      <c r="C29" s="20"/>
      <c r="D29" s="20"/>
      <c r="E29" s="20"/>
      <c r="F29" s="20"/>
      <c r="G29" s="20"/>
    </row>
    <row r="30" spans="1:7" ht="12.75">
      <c r="A30" s="21"/>
      <c r="B30" s="20" t="s">
        <v>26</v>
      </c>
      <c r="C30" s="20"/>
      <c r="D30" s="20"/>
      <c r="E30" s="20"/>
      <c r="F30" s="20"/>
      <c r="G30" s="20"/>
    </row>
    <row r="31" spans="1:7" ht="12.75">
      <c r="A31" s="21"/>
      <c r="B31" s="20" t="s">
        <v>27</v>
      </c>
      <c r="C31" s="20"/>
      <c r="D31" s="20"/>
      <c r="E31" s="20"/>
      <c r="F31" s="20"/>
      <c r="G31" s="20"/>
    </row>
    <row r="32" spans="1:7" ht="12.75">
      <c r="A32" s="21"/>
      <c r="B32" s="20" t="s">
        <v>71</v>
      </c>
      <c r="C32" s="20"/>
      <c r="D32" s="20"/>
      <c r="E32" s="20"/>
      <c r="F32" s="20"/>
      <c r="G32" s="20"/>
    </row>
    <row r="33" spans="1:7" ht="12.75">
      <c r="A33" s="21"/>
      <c r="B33" s="20"/>
      <c r="C33" s="20"/>
      <c r="D33" s="20"/>
      <c r="E33" s="20"/>
      <c r="F33" s="20"/>
      <c r="G33" s="20"/>
    </row>
    <row r="34" spans="1:7" ht="12.75">
      <c r="A34" s="21"/>
      <c r="B34" s="21" t="s">
        <v>0</v>
      </c>
      <c r="C34" s="20"/>
      <c r="D34" s="20"/>
      <c r="E34" s="20"/>
      <c r="F34" s="20"/>
      <c r="G34" s="20"/>
    </row>
    <row r="35" spans="1:7" ht="12.75">
      <c r="A35" s="21"/>
      <c r="B35" s="20" t="s">
        <v>26</v>
      </c>
      <c r="C35" s="20"/>
      <c r="D35" s="20"/>
      <c r="E35" s="20"/>
      <c r="F35" s="20"/>
      <c r="G35" s="20"/>
    </row>
    <row r="36" spans="1:7" ht="12.75">
      <c r="A36" s="21"/>
      <c r="B36" s="20" t="s">
        <v>27</v>
      </c>
      <c r="C36" s="20"/>
      <c r="D36" s="20"/>
      <c r="E36" s="20"/>
      <c r="F36" s="20"/>
      <c r="G36" s="20"/>
    </row>
    <row r="37" spans="1:7" ht="12.75">
      <c r="A37" s="21"/>
      <c r="B37" s="21" t="s">
        <v>31</v>
      </c>
      <c r="C37" s="20"/>
      <c r="D37" s="20"/>
      <c r="E37" s="20"/>
      <c r="F37" s="20"/>
      <c r="G37" s="20"/>
    </row>
    <row r="38" spans="1:7" ht="12.75">
      <c r="A38" s="21"/>
      <c r="B38" s="21"/>
      <c r="C38" s="20"/>
      <c r="D38" s="20"/>
      <c r="E38" s="20"/>
      <c r="F38" s="20"/>
      <c r="G38" s="20"/>
    </row>
    <row r="39" spans="1:7" ht="12.75">
      <c r="A39" s="21"/>
      <c r="B39" s="20" t="s">
        <v>33</v>
      </c>
      <c r="C39" s="20"/>
      <c r="D39" s="20"/>
      <c r="E39" s="20"/>
      <c r="F39" s="20"/>
      <c r="G39" s="20"/>
    </row>
    <row r="40" spans="1:7" ht="12.75">
      <c r="A40" s="21"/>
      <c r="B40" s="20"/>
      <c r="C40" s="20"/>
      <c r="D40" s="20"/>
      <c r="E40" s="20"/>
      <c r="F40" s="20"/>
      <c r="G40" s="20"/>
    </row>
    <row r="41" spans="1:7" ht="12.75">
      <c r="A41" s="23"/>
      <c r="B41" s="21" t="s">
        <v>35</v>
      </c>
      <c r="C41" s="20"/>
      <c r="D41" s="21">
        <f>+D43+D49-D56</f>
        <v>44376111.55</v>
      </c>
      <c r="E41" s="20"/>
      <c r="F41" s="20"/>
      <c r="G41" s="20"/>
    </row>
    <row r="42" spans="1:7" ht="12.75">
      <c r="A42" s="23"/>
      <c r="B42" s="20"/>
      <c r="C42" s="20"/>
      <c r="D42" s="20"/>
      <c r="E42" s="20"/>
      <c r="F42" s="20"/>
      <c r="G42" s="20"/>
    </row>
    <row r="43" spans="1:7" ht="12.75">
      <c r="A43" s="23"/>
      <c r="B43" s="21" t="s">
        <v>2</v>
      </c>
      <c r="C43" s="20"/>
      <c r="D43" s="20">
        <f>SUM(D45:D47)</f>
        <v>0</v>
      </c>
      <c r="E43" s="20"/>
      <c r="F43" s="20"/>
      <c r="G43" s="20"/>
    </row>
    <row r="44" spans="1:7" ht="12.75">
      <c r="A44" s="23"/>
      <c r="B44" s="20"/>
      <c r="C44" s="20"/>
      <c r="D44" s="20"/>
      <c r="E44" s="20"/>
      <c r="F44" s="20"/>
      <c r="G44" s="20"/>
    </row>
    <row r="45" spans="1:7" ht="12.75">
      <c r="A45" s="23"/>
      <c r="B45" s="20" t="s">
        <v>36</v>
      </c>
      <c r="C45" s="20"/>
      <c r="D45" s="20">
        <v>0</v>
      </c>
      <c r="E45" s="20"/>
      <c r="F45" s="20"/>
      <c r="G45" s="20"/>
    </row>
    <row r="46" spans="1:7" ht="12.75">
      <c r="A46" s="23"/>
      <c r="B46" s="20" t="s">
        <v>37</v>
      </c>
      <c r="C46" s="20"/>
      <c r="D46" s="20">
        <v>0</v>
      </c>
      <c r="E46" s="20"/>
      <c r="F46" s="20"/>
      <c r="G46" s="20"/>
    </row>
    <row r="47" spans="1:7" ht="12.75">
      <c r="A47" s="23"/>
      <c r="B47" s="20" t="s">
        <v>166</v>
      </c>
      <c r="C47" s="20"/>
      <c r="D47" s="20">
        <v>0</v>
      </c>
      <c r="E47" s="20"/>
      <c r="F47" s="20"/>
      <c r="G47" s="20"/>
    </row>
    <row r="48" spans="1:7" ht="12.75">
      <c r="A48" s="23"/>
      <c r="B48" s="20"/>
      <c r="C48" s="20"/>
      <c r="D48" s="20"/>
      <c r="E48" s="20"/>
      <c r="F48" s="20"/>
      <c r="G48" s="20"/>
    </row>
    <row r="49" spans="1:7" ht="12.75">
      <c r="A49" s="21" t="s">
        <v>40</v>
      </c>
      <c r="B49" s="21" t="s">
        <v>172</v>
      </c>
      <c r="C49" s="20"/>
      <c r="D49" s="20">
        <f>SUM(D51:D53)</f>
        <v>44376111.55</v>
      </c>
      <c r="E49" s="20"/>
      <c r="F49" s="20"/>
      <c r="G49" s="20"/>
    </row>
    <row r="50" spans="1:7" ht="12.75">
      <c r="A50" s="23"/>
      <c r="B50" s="20"/>
      <c r="C50" s="20"/>
      <c r="D50" s="20"/>
      <c r="E50" s="20"/>
      <c r="F50" s="20"/>
      <c r="G50" s="20"/>
    </row>
    <row r="51" spans="1:7" ht="12.75">
      <c r="A51" s="23"/>
      <c r="B51" s="20" t="s">
        <v>36</v>
      </c>
      <c r="C51" s="20"/>
      <c r="D51" s="20">
        <f>3554763+1739594+66994+275626-1091521+2202434</f>
        <v>6747890</v>
      </c>
      <c r="E51" s="20"/>
      <c r="F51" s="20"/>
      <c r="G51" s="20"/>
    </row>
    <row r="52" spans="1:7" ht="12.75">
      <c r="A52" s="23"/>
      <c r="B52" s="20" t="s">
        <v>37</v>
      </c>
      <c r="C52" s="20"/>
      <c r="D52" s="20">
        <f>5895069+496128+228632+4377404+361655+72540-2240-25284+1347654+392999-81183-2773000-3834772+14983205+2773000</f>
        <v>24211807</v>
      </c>
      <c r="E52" s="20"/>
      <c r="F52" s="20"/>
      <c r="G52" s="20"/>
    </row>
    <row r="53" spans="1:7" ht="12.75">
      <c r="A53" s="23"/>
      <c r="B53" s="20" t="s">
        <v>38</v>
      </c>
      <c r="C53" s="20"/>
      <c r="D53" s="20">
        <f>1537200+1290588+10842488.55-253862</f>
        <v>13416414.55</v>
      </c>
      <c r="E53" s="20"/>
      <c r="F53" s="20"/>
      <c r="G53" s="20"/>
    </row>
    <row r="54" spans="1:7" ht="12.75">
      <c r="A54" s="23"/>
      <c r="B54" s="20"/>
      <c r="C54" s="20"/>
      <c r="D54" s="20"/>
      <c r="E54" s="20"/>
      <c r="F54" s="20"/>
      <c r="G54" s="20"/>
    </row>
    <row r="55" spans="1:7" ht="12.75">
      <c r="A55" s="23"/>
      <c r="B55" s="20"/>
      <c r="C55" s="20"/>
      <c r="D55" s="20"/>
      <c r="E55" s="20"/>
      <c r="F55" s="20"/>
      <c r="G55" s="20"/>
    </row>
    <row r="56" spans="1:7" ht="12.75">
      <c r="A56" s="21" t="s">
        <v>41</v>
      </c>
      <c r="B56" s="21" t="s">
        <v>0</v>
      </c>
      <c r="C56" s="20"/>
      <c r="D56" s="20">
        <f>SUM(D58:D60)</f>
        <v>0</v>
      </c>
      <c r="E56" s="20"/>
      <c r="F56" s="20"/>
      <c r="G56" s="20"/>
    </row>
    <row r="57" spans="1:7" ht="12.75">
      <c r="A57" s="23"/>
      <c r="B57" s="21"/>
      <c r="C57" s="20"/>
      <c r="D57" s="20"/>
      <c r="E57" s="20"/>
      <c r="F57" s="20"/>
      <c r="G57" s="20"/>
    </row>
    <row r="58" spans="1:7" ht="12.75">
      <c r="A58" s="23"/>
      <c r="B58" s="20" t="s">
        <v>36</v>
      </c>
      <c r="C58" s="20"/>
      <c r="D58" s="20"/>
      <c r="E58" s="20"/>
      <c r="F58" s="20"/>
      <c r="G58" s="20"/>
    </row>
    <row r="59" spans="1:7" ht="12.75">
      <c r="A59" s="23"/>
      <c r="B59" s="20" t="s">
        <v>37</v>
      </c>
      <c r="C59" s="20"/>
      <c r="D59" s="20"/>
      <c r="E59" s="20"/>
      <c r="F59" s="20"/>
      <c r="G59" s="20"/>
    </row>
    <row r="60" spans="1:7" ht="12.75">
      <c r="A60" s="23"/>
      <c r="B60" s="20" t="s">
        <v>38</v>
      </c>
      <c r="C60" s="20"/>
      <c r="D60" s="20"/>
      <c r="E60" s="20"/>
      <c r="F60" s="20"/>
      <c r="G60" s="20"/>
    </row>
    <row r="61" spans="1:7" ht="12.75">
      <c r="A61" s="23"/>
      <c r="B61" s="20"/>
      <c r="C61" s="20"/>
      <c r="D61" s="20"/>
      <c r="E61" s="20"/>
      <c r="F61" s="20"/>
      <c r="G61" s="20"/>
    </row>
    <row r="62" spans="1:7" ht="12.75">
      <c r="A62" s="23"/>
      <c r="B62" s="21" t="s">
        <v>42</v>
      </c>
      <c r="C62" s="20"/>
      <c r="D62" s="21">
        <f>+D64+D66-D69</f>
        <v>526143.13</v>
      </c>
      <c r="E62" s="20"/>
      <c r="F62" s="20"/>
      <c r="G62" s="20"/>
    </row>
    <row r="63" spans="1:7" ht="12.75" hidden="1">
      <c r="A63" s="20"/>
      <c r="B63" s="20"/>
      <c r="C63" s="20"/>
      <c r="D63" s="20"/>
      <c r="E63" s="20"/>
      <c r="F63" s="20"/>
      <c r="G63" s="20"/>
    </row>
    <row r="64" spans="1:7" ht="12.75" hidden="1">
      <c r="A64" s="20"/>
      <c r="B64" s="20" t="s">
        <v>2</v>
      </c>
      <c r="C64" s="20"/>
      <c r="D64" s="20">
        <v>0</v>
      </c>
      <c r="E64" s="20"/>
      <c r="F64" s="20"/>
      <c r="G64" s="20"/>
    </row>
    <row r="65" spans="1:7" ht="12.75" hidden="1">
      <c r="A65" s="20"/>
      <c r="B65" s="20"/>
      <c r="C65" s="20"/>
      <c r="D65" s="20"/>
      <c r="E65" s="20"/>
      <c r="F65" s="20"/>
      <c r="G65" s="20"/>
    </row>
    <row r="66" spans="1:7" ht="12.75" hidden="1">
      <c r="A66" s="21" t="s">
        <v>40</v>
      </c>
      <c r="B66" s="20" t="s">
        <v>39</v>
      </c>
      <c r="C66" s="20"/>
      <c r="D66" s="20">
        <f>905+59771+291825+173642.13</f>
        <v>526143.13</v>
      </c>
      <c r="E66" s="20"/>
      <c r="F66" s="20"/>
      <c r="G66" s="20"/>
    </row>
    <row r="67" spans="1:7" ht="12.75" hidden="1">
      <c r="A67" s="20"/>
      <c r="B67" s="20"/>
      <c r="C67" s="20"/>
      <c r="D67" s="20"/>
      <c r="E67" s="20"/>
      <c r="F67" s="20"/>
      <c r="G67" s="20"/>
    </row>
    <row r="68" spans="1:7" ht="12.75" hidden="1">
      <c r="A68" s="21" t="s">
        <v>41</v>
      </c>
      <c r="B68" s="20" t="s">
        <v>0</v>
      </c>
      <c r="C68" s="20"/>
      <c r="D68" s="20"/>
      <c r="E68" s="20"/>
      <c r="F68" s="20"/>
      <c r="G68" s="20"/>
    </row>
    <row r="69" spans="1:7" ht="12.75" hidden="1">
      <c r="A69" s="20"/>
      <c r="B69" s="20"/>
      <c r="C69" s="20"/>
      <c r="D69" s="20">
        <v>0</v>
      </c>
      <c r="E69" s="20"/>
      <c r="F69" s="20"/>
      <c r="G69" s="20"/>
    </row>
    <row r="70" spans="1:7" ht="12.75" hidden="1">
      <c r="A70" s="20"/>
      <c r="B70" s="20"/>
      <c r="C70" s="20"/>
      <c r="D70" s="20"/>
      <c r="E70" s="20"/>
      <c r="F70" s="20"/>
      <c r="G70" s="20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 t="s">
        <v>4</v>
      </c>
      <c r="C72" s="20"/>
      <c r="D72" s="21">
        <f>+D25-D41-D62</f>
        <v>30729028.639999997</v>
      </c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1" t="s">
        <v>1</v>
      </c>
      <c r="B74" s="21" t="s">
        <v>43</v>
      </c>
      <c r="C74" s="20"/>
      <c r="D74" s="20"/>
      <c r="E74" s="20"/>
      <c r="F74" s="20"/>
      <c r="G74" s="20"/>
    </row>
    <row r="75" spans="1:7" ht="12.75">
      <c r="A75" s="21"/>
      <c r="B75" s="21"/>
      <c r="C75" s="20"/>
      <c r="D75" s="20"/>
      <c r="E75" s="20"/>
      <c r="F75" s="20"/>
      <c r="G75" s="20"/>
    </row>
    <row r="76" spans="1:7" ht="12.75">
      <c r="A76" s="21"/>
      <c r="B76" s="21" t="s">
        <v>65</v>
      </c>
      <c r="C76" s="20"/>
      <c r="D76" s="21">
        <f>SUM(D77:D79)</f>
        <v>1549746</v>
      </c>
      <c r="E76" s="20"/>
      <c r="F76" s="20"/>
      <c r="G76" s="20"/>
    </row>
    <row r="77" spans="1:7" ht="12.75">
      <c r="A77" s="21"/>
      <c r="B77" s="20" t="s">
        <v>66</v>
      </c>
      <c r="C77" s="20"/>
      <c r="D77" s="20">
        <v>56458</v>
      </c>
      <c r="E77" s="20"/>
      <c r="F77" s="20"/>
      <c r="G77" s="20"/>
    </row>
    <row r="78" spans="1:7" ht="12.75">
      <c r="A78" s="21"/>
      <c r="B78" s="20" t="s">
        <v>67</v>
      </c>
      <c r="C78" s="20"/>
      <c r="D78" s="20">
        <v>1493288</v>
      </c>
      <c r="E78" s="20"/>
      <c r="F78" s="20"/>
      <c r="G78" s="20"/>
    </row>
    <row r="79" spans="1:7" ht="12.75">
      <c r="A79" s="21"/>
      <c r="B79" s="20" t="s">
        <v>38</v>
      </c>
      <c r="C79" s="20"/>
      <c r="D79" s="20">
        <v>0</v>
      </c>
      <c r="E79" s="20"/>
      <c r="F79" s="20"/>
      <c r="G79" s="20"/>
    </row>
    <row r="80" spans="1:7" ht="12.75">
      <c r="A80" s="21"/>
      <c r="B80" s="20"/>
      <c r="C80" s="20"/>
      <c r="D80" s="20"/>
      <c r="E80" s="20"/>
      <c r="F80" s="20"/>
      <c r="G80" s="20"/>
    </row>
    <row r="81" spans="1:7" ht="12.75" hidden="1">
      <c r="A81" s="21"/>
      <c r="B81" s="20" t="s">
        <v>68</v>
      </c>
      <c r="C81" s="20"/>
      <c r="D81" s="20">
        <v>0</v>
      </c>
      <c r="E81" s="20"/>
      <c r="F81" s="20"/>
      <c r="G81" s="20"/>
    </row>
    <row r="82" spans="1:7" ht="12.75" hidden="1">
      <c r="A82" s="21"/>
      <c r="B82" s="20" t="s">
        <v>163</v>
      </c>
      <c r="C82" s="20"/>
      <c r="D82" s="20">
        <v>0</v>
      </c>
      <c r="E82" s="20"/>
      <c r="F82" s="20"/>
      <c r="G82" s="20"/>
    </row>
    <row r="83" spans="1:7" ht="12.75">
      <c r="A83" s="21"/>
      <c r="B83" s="20" t="s">
        <v>413</v>
      </c>
      <c r="C83" s="20"/>
      <c r="D83" s="20">
        <f>1081089+261357+74112</f>
        <v>1416558</v>
      </c>
      <c r="E83" s="20"/>
      <c r="F83" s="20"/>
      <c r="G83" s="20"/>
    </row>
    <row r="84" spans="1:7" ht="12.75">
      <c r="A84" s="21"/>
      <c r="B84" s="20" t="s">
        <v>69</v>
      </c>
      <c r="C84" s="20"/>
      <c r="D84" s="20">
        <v>512135</v>
      </c>
      <c r="E84" s="20"/>
      <c r="F84" s="20"/>
      <c r="G84" s="20"/>
    </row>
    <row r="85" spans="1:7" ht="12.75">
      <c r="A85" s="21"/>
      <c r="B85" s="20" t="s">
        <v>167</v>
      </c>
      <c r="C85" s="20"/>
      <c r="D85" s="20">
        <f>778611+30507+58080</f>
        <v>867198</v>
      </c>
      <c r="E85" s="20"/>
      <c r="F85" s="20"/>
      <c r="G85" s="20"/>
    </row>
    <row r="86" spans="1:7" ht="12.75">
      <c r="A86" s="21"/>
      <c r="B86" s="20"/>
      <c r="C86" s="20"/>
      <c r="D86" s="20"/>
      <c r="E86" s="20"/>
      <c r="F86" s="20"/>
      <c r="G86" s="20"/>
    </row>
    <row r="87" spans="1:7" ht="12.75">
      <c r="A87" s="24"/>
      <c r="B87" s="21" t="s">
        <v>5</v>
      </c>
      <c r="C87" s="20"/>
      <c r="D87" s="21">
        <f>+D88+D89</f>
        <v>1508018.5</v>
      </c>
      <c r="E87" s="20"/>
      <c r="F87" s="20"/>
      <c r="G87" s="20"/>
    </row>
    <row r="88" spans="1:7" ht="12.75">
      <c r="A88" s="24"/>
      <c r="B88" s="20" t="s">
        <v>44</v>
      </c>
      <c r="C88" s="20"/>
      <c r="D88" s="20">
        <v>1508018.5</v>
      </c>
      <c r="E88" s="20"/>
      <c r="F88" s="20"/>
      <c r="G88" s="20"/>
    </row>
    <row r="89" spans="1:7" ht="12.75">
      <c r="A89" s="24"/>
      <c r="B89" s="20" t="s">
        <v>45</v>
      </c>
      <c r="C89" s="20"/>
      <c r="D89" s="20"/>
      <c r="E89" s="20"/>
      <c r="F89" s="20"/>
      <c r="G89" s="20"/>
    </row>
    <row r="90" spans="1:7" ht="12.75">
      <c r="A90" s="24"/>
      <c r="B90" s="20"/>
      <c r="C90" s="20"/>
      <c r="D90" s="20"/>
      <c r="E90" s="20"/>
      <c r="F90" s="20"/>
      <c r="G90" s="20"/>
    </row>
    <row r="91" spans="1:7" ht="12.75">
      <c r="A91" s="24"/>
      <c r="B91" s="21" t="s">
        <v>10</v>
      </c>
      <c r="C91" s="20"/>
      <c r="D91" s="21">
        <f>SUM(D92:D95)</f>
        <v>366890</v>
      </c>
      <c r="E91" s="20"/>
      <c r="F91" s="20"/>
      <c r="G91" s="20"/>
    </row>
    <row r="92" spans="1:7" ht="12.75">
      <c r="A92" s="24"/>
      <c r="B92" s="21"/>
      <c r="C92" s="20"/>
      <c r="D92" s="20"/>
      <c r="E92" s="20"/>
      <c r="F92" s="20"/>
      <c r="G92" s="20"/>
    </row>
    <row r="93" spans="1:7" ht="12.75">
      <c r="A93" s="24"/>
      <c r="B93" s="20" t="s">
        <v>46</v>
      </c>
      <c r="C93" s="20"/>
      <c r="D93" s="20">
        <v>253963</v>
      </c>
      <c r="E93" s="20"/>
      <c r="F93" s="20"/>
      <c r="G93" s="20"/>
    </row>
    <row r="94" spans="1:7" ht="12.75">
      <c r="A94" s="24"/>
      <c r="B94" s="20" t="s">
        <v>47</v>
      </c>
      <c r="C94" s="20"/>
      <c r="D94" s="20">
        <v>2220</v>
      </c>
      <c r="E94" s="20"/>
      <c r="F94" s="20"/>
      <c r="G94" s="20"/>
    </row>
    <row r="95" spans="1:7" ht="12.75">
      <c r="A95" s="24"/>
      <c r="B95" s="20" t="s">
        <v>38</v>
      </c>
      <c r="C95" s="20"/>
      <c r="D95" s="20">
        <v>110707</v>
      </c>
      <c r="E95" s="20"/>
      <c r="F95" s="20"/>
      <c r="G95" s="20"/>
    </row>
    <row r="96" spans="1:7" ht="12.75">
      <c r="A96" s="24"/>
      <c r="B96" s="20"/>
      <c r="C96" s="20"/>
      <c r="D96" s="20"/>
      <c r="E96" s="20"/>
      <c r="F96" s="20"/>
      <c r="G96" s="20"/>
    </row>
    <row r="97" spans="1:7" ht="12.75">
      <c r="A97" s="24"/>
      <c r="B97" s="21" t="s">
        <v>9</v>
      </c>
      <c r="C97" s="20"/>
      <c r="D97" s="21">
        <f>SUM(D98:D113)</f>
        <v>5934803.18</v>
      </c>
      <c r="E97" s="20"/>
      <c r="F97" s="20"/>
      <c r="G97" s="20"/>
    </row>
    <row r="98" spans="1:7" ht="12.75">
      <c r="A98" s="24"/>
      <c r="B98" s="20"/>
      <c r="C98" s="20"/>
      <c r="D98" s="20"/>
      <c r="E98" s="20"/>
      <c r="F98" s="20"/>
      <c r="G98" s="20"/>
    </row>
    <row r="99" spans="1:7" ht="12.75">
      <c r="A99" s="24"/>
      <c r="B99" s="20" t="s">
        <v>164</v>
      </c>
      <c r="C99" s="20"/>
      <c r="D99" s="20">
        <f>1849107-D100-D84</f>
        <v>1155414</v>
      </c>
      <c r="E99" s="20"/>
      <c r="F99" s="20"/>
      <c r="G99" s="20"/>
    </row>
    <row r="100" spans="1:7" ht="12.75">
      <c r="A100" s="24"/>
      <c r="B100" s="20" t="s">
        <v>52</v>
      </c>
      <c r="C100" s="20"/>
      <c r="D100" s="20">
        <v>181558</v>
      </c>
      <c r="E100" s="20"/>
      <c r="F100" s="20"/>
      <c r="G100" s="20"/>
    </row>
    <row r="101" spans="1:7" ht="12.75">
      <c r="A101" s="24"/>
      <c r="B101" s="20" t="s">
        <v>12</v>
      </c>
      <c r="C101" s="20"/>
      <c r="D101" s="20">
        <v>24901</v>
      </c>
      <c r="E101" s="20"/>
      <c r="F101" s="20"/>
      <c r="G101" s="20"/>
    </row>
    <row r="102" spans="1:7" ht="12.75">
      <c r="A102" s="24"/>
      <c r="B102" s="20" t="s">
        <v>49</v>
      </c>
      <c r="C102" s="20"/>
      <c r="D102" s="20">
        <v>83939</v>
      </c>
      <c r="E102" s="20"/>
      <c r="F102" s="20"/>
      <c r="G102" s="20"/>
    </row>
    <row r="103" spans="1:7" ht="12.75">
      <c r="A103" s="24"/>
      <c r="B103" s="20" t="s">
        <v>50</v>
      </c>
      <c r="C103" s="20"/>
      <c r="D103" s="20">
        <v>0</v>
      </c>
      <c r="E103" s="20"/>
      <c r="F103" s="20"/>
      <c r="G103" s="20"/>
    </row>
    <row r="104" spans="1:7" ht="12.75">
      <c r="A104" s="24"/>
      <c r="B104" s="20" t="s">
        <v>51</v>
      </c>
      <c r="C104" s="20"/>
      <c r="D104" s="20">
        <f>47836+0.18</f>
        <v>47836.18</v>
      </c>
      <c r="E104" s="20"/>
      <c r="F104" s="20"/>
      <c r="G104" s="20"/>
    </row>
    <row r="105" spans="1:7" ht="12.75">
      <c r="A105" s="24"/>
      <c r="B105" s="20" t="s">
        <v>54</v>
      </c>
      <c r="C105" s="20"/>
      <c r="D105" s="20">
        <v>41866</v>
      </c>
      <c r="E105" s="20"/>
      <c r="F105" s="20"/>
      <c r="G105" s="20"/>
    </row>
    <row r="106" spans="1:7" ht="12.75">
      <c r="A106" s="24"/>
      <c r="B106" s="20" t="s">
        <v>53</v>
      </c>
      <c r="C106" s="20"/>
      <c r="D106" s="20">
        <f>14173+44539</f>
        <v>58712</v>
      </c>
      <c r="E106" s="20"/>
      <c r="F106" s="20"/>
      <c r="G106" s="20"/>
    </row>
    <row r="107" spans="1:7" ht="12.75">
      <c r="A107" s="24"/>
      <c r="B107" s="20" t="s">
        <v>55</v>
      </c>
      <c r="C107" s="20"/>
      <c r="D107" s="20">
        <v>170696</v>
      </c>
      <c r="E107" s="20"/>
      <c r="F107" s="20"/>
      <c r="G107" s="20"/>
    </row>
    <row r="108" spans="1:7" ht="12.75">
      <c r="A108" s="24"/>
      <c r="B108" s="20" t="s">
        <v>56</v>
      </c>
      <c r="C108" s="20"/>
      <c r="D108" s="20">
        <v>22212</v>
      </c>
      <c r="E108" s="20"/>
      <c r="F108" s="20"/>
      <c r="G108" s="20"/>
    </row>
    <row r="109" spans="1:7" ht="12.75">
      <c r="A109" s="24"/>
      <c r="B109" s="20" t="s">
        <v>165</v>
      </c>
      <c r="C109" s="20"/>
      <c r="D109" s="20">
        <v>142750</v>
      </c>
      <c r="E109" s="20"/>
      <c r="F109" s="20"/>
      <c r="G109" s="20"/>
    </row>
    <row r="110" spans="1:7" ht="12.75">
      <c r="A110" s="24"/>
      <c r="B110" s="20" t="s">
        <v>30</v>
      </c>
      <c r="C110" s="20"/>
      <c r="D110" s="20">
        <f>32427+884</f>
        <v>33311</v>
      </c>
      <c r="E110" s="20"/>
      <c r="F110" s="20"/>
      <c r="G110" s="20"/>
    </row>
    <row r="111" spans="1:7" ht="12.75">
      <c r="A111" s="24"/>
      <c r="B111" s="20"/>
      <c r="C111" s="20"/>
      <c r="D111" s="20"/>
      <c r="E111" s="20"/>
      <c r="F111" s="20"/>
      <c r="G111" s="20"/>
    </row>
    <row r="112" spans="1:7" ht="12.75">
      <c r="A112" s="21"/>
      <c r="B112" s="21" t="s">
        <v>161</v>
      </c>
      <c r="C112" s="20"/>
      <c r="D112" s="20">
        <v>3250000</v>
      </c>
      <c r="E112" s="20"/>
      <c r="F112" s="20"/>
      <c r="G112" s="20"/>
    </row>
    <row r="113" spans="1:7" ht="12.75">
      <c r="A113" s="21"/>
      <c r="B113" s="21" t="s">
        <v>162</v>
      </c>
      <c r="C113" s="20"/>
      <c r="D113" s="20">
        <v>721608</v>
      </c>
      <c r="E113" s="20"/>
      <c r="F113" s="20"/>
      <c r="G113" s="20"/>
    </row>
    <row r="114" spans="1:7" ht="12.75">
      <c r="A114" s="21"/>
      <c r="B114" s="21"/>
      <c r="C114" s="20"/>
      <c r="D114" s="20"/>
      <c r="E114" s="20"/>
      <c r="F114" s="20"/>
      <c r="G114" s="20"/>
    </row>
    <row r="115" spans="1:7" ht="12.75">
      <c r="A115" s="24"/>
      <c r="B115" s="21" t="s">
        <v>11</v>
      </c>
      <c r="C115" s="20"/>
      <c r="D115" s="21">
        <f>SUM(D116:D122)</f>
        <v>2775634</v>
      </c>
      <c r="E115" s="20"/>
      <c r="F115" s="20"/>
      <c r="G115" s="20"/>
    </row>
    <row r="116" spans="1:7" ht="12.75">
      <c r="A116" s="24"/>
      <c r="B116" s="21"/>
      <c r="C116" s="20"/>
      <c r="D116" s="20"/>
      <c r="E116" s="20"/>
      <c r="F116" s="20"/>
      <c r="G116" s="20"/>
    </row>
    <row r="117" spans="1:7" ht="12.75">
      <c r="A117" s="24"/>
      <c r="B117" s="20" t="s">
        <v>7</v>
      </c>
      <c r="C117" s="20"/>
      <c r="D117" s="20">
        <v>148003</v>
      </c>
      <c r="E117" s="20"/>
      <c r="F117" s="20"/>
      <c r="G117" s="20"/>
    </row>
    <row r="118" spans="1:7" ht="12.75">
      <c r="A118" s="24"/>
      <c r="B118" s="20" t="s">
        <v>57</v>
      </c>
      <c r="C118" s="20"/>
      <c r="D118" s="20">
        <v>0</v>
      </c>
      <c r="E118" s="20"/>
      <c r="F118" s="20"/>
      <c r="G118" s="20"/>
    </row>
    <row r="119" spans="1:7" ht="12.75">
      <c r="A119" s="24"/>
      <c r="B119" s="20" t="s">
        <v>30</v>
      </c>
      <c r="C119" s="20"/>
      <c r="D119" s="20">
        <f>2775634-D117-D118-D120-D121-D122</f>
        <v>55339</v>
      </c>
      <c r="E119" s="20"/>
      <c r="F119" s="20"/>
      <c r="G119" s="20"/>
    </row>
    <row r="120" spans="1:7" ht="12.75" hidden="1">
      <c r="A120" s="24"/>
      <c r="B120" s="20" t="s">
        <v>58</v>
      </c>
      <c r="C120" s="20"/>
      <c r="D120" s="20"/>
      <c r="E120" s="20"/>
      <c r="F120" s="20"/>
      <c r="G120" s="20"/>
    </row>
    <row r="121" spans="1:7" ht="12.75" hidden="1">
      <c r="A121" s="24"/>
      <c r="B121" s="20" t="s">
        <v>59</v>
      </c>
      <c r="C121" s="20"/>
      <c r="D121" s="20"/>
      <c r="E121" s="20"/>
      <c r="F121" s="20"/>
      <c r="G121" s="20"/>
    </row>
    <row r="122" spans="1:7" ht="12.75">
      <c r="A122" s="24"/>
      <c r="B122" s="20" t="s">
        <v>160</v>
      </c>
      <c r="C122" s="20"/>
      <c r="D122" s="20">
        <v>2572292</v>
      </c>
      <c r="E122" s="20"/>
      <c r="F122" s="20"/>
      <c r="G122" s="20"/>
    </row>
    <row r="123" spans="1:7" ht="12.75">
      <c r="A123" s="24"/>
      <c r="B123" s="20"/>
      <c r="C123" s="20"/>
      <c r="D123" s="20"/>
      <c r="E123" s="20"/>
      <c r="F123" s="20"/>
      <c r="G123" s="20"/>
    </row>
    <row r="124" spans="1:7" ht="12.75">
      <c r="A124" s="24"/>
      <c r="B124" s="21" t="s">
        <v>61</v>
      </c>
      <c r="C124" s="20"/>
      <c r="D124" s="21">
        <f>+D25-D41-D62-D76-D81-D82-D83-D84-D85-D87-D91-D97-D115</f>
        <v>15798045.959999997</v>
      </c>
      <c r="E124" s="20"/>
      <c r="F124" s="20"/>
      <c r="G124" s="20"/>
    </row>
    <row r="125" spans="1:7" ht="12.75">
      <c r="A125" s="24"/>
      <c r="B125" s="20"/>
      <c r="C125" s="20"/>
      <c r="D125" s="20"/>
      <c r="E125" s="20"/>
      <c r="F125" s="20"/>
      <c r="G125" s="20"/>
    </row>
    <row r="126" spans="1:7" ht="12.75">
      <c r="A126" s="24"/>
      <c r="B126" s="20" t="s">
        <v>62</v>
      </c>
      <c r="C126" s="20"/>
      <c r="D126" s="20">
        <v>9620000</v>
      </c>
      <c r="E126" s="20"/>
      <c r="F126" s="20"/>
      <c r="G126" s="20"/>
    </row>
    <row r="127" spans="1:7" ht="12.75">
      <c r="A127" s="21"/>
      <c r="B127" s="20" t="s">
        <v>63</v>
      </c>
      <c r="C127" s="20"/>
      <c r="D127" s="20">
        <v>114982</v>
      </c>
      <c r="E127" s="20"/>
      <c r="F127" s="20"/>
      <c r="G127" s="20"/>
    </row>
    <row r="128" spans="1:7" ht="12.75">
      <c r="A128" s="21"/>
      <c r="B128" s="20"/>
      <c r="C128" s="20"/>
      <c r="D128" s="20"/>
      <c r="E128" s="20"/>
      <c r="F128" s="20"/>
      <c r="G128" s="20"/>
    </row>
    <row r="129" spans="1:7" ht="12.75">
      <c r="A129" s="24"/>
      <c r="B129" s="21" t="s">
        <v>143</v>
      </c>
      <c r="C129" s="20"/>
      <c r="D129" s="21">
        <f>+D124-D126-D127</f>
        <v>6063063.959999997</v>
      </c>
      <c r="E129" s="20"/>
      <c r="F129" s="20"/>
      <c r="G129" s="20"/>
    </row>
    <row r="130" spans="1:7" ht="12.75">
      <c r="A130" s="24"/>
      <c r="B130" s="20"/>
      <c r="C130" s="20"/>
      <c r="D130" s="20"/>
      <c r="E130" s="20"/>
      <c r="F130" s="20"/>
      <c r="G130" s="20"/>
    </row>
    <row r="131" spans="1:7" ht="12.75">
      <c r="A131" s="24"/>
      <c r="B131" s="20" t="s">
        <v>13</v>
      </c>
      <c r="C131" s="20"/>
      <c r="D131" s="20">
        <v>4875000</v>
      </c>
      <c r="E131" s="20"/>
      <c r="F131" s="20"/>
      <c r="G131" s="20"/>
    </row>
    <row r="132" spans="1:7" ht="12.75">
      <c r="A132" s="24"/>
      <c r="B132" s="20"/>
      <c r="C132" s="20"/>
      <c r="D132" s="20"/>
      <c r="E132" s="20"/>
      <c r="F132" s="20"/>
      <c r="G132" s="20"/>
    </row>
    <row r="133" spans="1:7" ht="12.75">
      <c r="A133" s="20"/>
      <c r="B133" s="21" t="s">
        <v>64</v>
      </c>
      <c r="C133" s="20"/>
      <c r="D133" s="21">
        <f>+D129-D131</f>
        <v>1188063.9599999972</v>
      </c>
      <c r="E133" s="20"/>
      <c r="F133" s="20"/>
      <c r="G133" s="20"/>
    </row>
  </sheetData>
  <mergeCells count="7">
    <mergeCell ref="D7:E7"/>
    <mergeCell ref="A1:G1"/>
    <mergeCell ref="A5:G5"/>
    <mergeCell ref="F7:G7"/>
    <mergeCell ref="A7:A8"/>
    <mergeCell ref="B7:B8"/>
    <mergeCell ref="C7:C8"/>
  </mergeCells>
  <printOptions/>
  <pageMargins left="0.75" right="0.75" top="0.25" bottom="0.6" header="0.23" footer="0.6"/>
  <pageSetup horizontalDpi="300" verticalDpi="300" orientation="portrait" paperSize="9" scale="79" r:id="rId3"/>
  <rowBreaks count="1" manualBreakCount="1">
    <brk id="72" max="6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B11" sqref="B11"/>
    </sheetView>
  </sheetViews>
  <sheetFormatPr defaultColWidth="9.140625" defaultRowHeight="12.75"/>
  <cols>
    <col min="1" max="1" width="28.421875" style="0" bestFit="1" customWidth="1"/>
    <col min="2" max="3" width="12.5742187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73" t="s">
        <v>174</v>
      </c>
    </row>
    <row r="2" ht="12.75">
      <c r="A2" s="74" t="s">
        <v>175</v>
      </c>
    </row>
    <row r="3" ht="12.75">
      <c r="A3" s="74" t="s">
        <v>176</v>
      </c>
    </row>
    <row r="4" ht="12.75">
      <c r="A4" s="74"/>
    </row>
    <row r="5" spans="1:5" ht="12.75">
      <c r="A5" s="75" t="s">
        <v>178</v>
      </c>
      <c r="B5" s="76" t="s">
        <v>467</v>
      </c>
      <c r="C5" s="904" t="s">
        <v>468</v>
      </c>
      <c r="D5" s="905"/>
      <c r="E5" s="76" t="s">
        <v>469</v>
      </c>
    </row>
    <row r="6" spans="1:5" ht="12.75">
      <c r="A6" s="77" t="s">
        <v>177</v>
      </c>
      <c r="B6" s="76" t="s">
        <v>470</v>
      </c>
      <c r="C6" s="76" t="s">
        <v>179</v>
      </c>
      <c r="D6" s="76" t="s">
        <v>180</v>
      </c>
      <c r="E6" s="76" t="s">
        <v>470</v>
      </c>
    </row>
    <row r="7" spans="1:5" ht="12.75">
      <c r="A7" s="77"/>
      <c r="B7" s="76"/>
      <c r="C7" s="76"/>
      <c r="D7" s="76"/>
      <c r="E7" s="76"/>
    </row>
    <row r="8" spans="1:7" ht="12.75">
      <c r="A8" s="8" t="s">
        <v>471</v>
      </c>
      <c r="B8" s="8">
        <f>SUM(B9:B13)</f>
        <v>694787.5</v>
      </c>
      <c r="C8" s="8">
        <f>SUM(C9:C13)</f>
        <v>-52786905.5</v>
      </c>
      <c r="D8" s="8">
        <f>SUM(D9:D13)</f>
        <v>93210681.16</v>
      </c>
      <c r="E8" s="8">
        <f>SUM(E9:E13)</f>
        <v>41118563.16</v>
      </c>
      <c r="F8">
        <v>41118563.16</v>
      </c>
      <c r="G8">
        <f>+E8-F8</f>
        <v>0</v>
      </c>
    </row>
    <row r="9" spans="1:7" ht="12.75">
      <c r="A9" s="7" t="s">
        <v>182</v>
      </c>
      <c r="B9" s="7">
        <v>263748</v>
      </c>
      <c r="C9" s="7">
        <v>-963484</v>
      </c>
      <c r="D9" s="7">
        <v>1106140.5</v>
      </c>
      <c r="E9" s="8">
        <f aca="true" t="shared" si="0" ref="E9:E50">+B9+C9+D9</f>
        <v>406404.5</v>
      </c>
      <c r="F9">
        <v>406404.5</v>
      </c>
      <c r="G9">
        <f aca="true" t="shared" si="1" ref="G9:G56">+E9-F9</f>
        <v>0</v>
      </c>
    </row>
    <row r="10" spans="1:7" ht="12.75">
      <c r="A10" s="7" t="s">
        <v>183</v>
      </c>
      <c r="B10" s="7">
        <v>431039.5</v>
      </c>
      <c r="C10" s="7">
        <v>-432330.5</v>
      </c>
      <c r="D10" s="7"/>
      <c r="E10" s="8">
        <f t="shared" si="0"/>
        <v>-1291</v>
      </c>
      <c r="F10">
        <v>-1291</v>
      </c>
      <c r="G10">
        <f t="shared" si="1"/>
        <v>0</v>
      </c>
    </row>
    <row r="11" spans="1:7" ht="12.75">
      <c r="A11" s="7" t="s">
        <v>184</v>
      </c>
      <c r="B11" s="7"/>
      <c r="C11" s="7">
        <v>-27724863</v>
      </c>
      <c r="D11" s="7">
        <v>40781231.66</v>
      </c>
      <c r="E11" s="8">
        <f t="shared" si="0"/>
        <v>13056368.659999996</v>
      </c>
      <c r="F11">
        <v>13056368.659999996</v>
      </c>
      <c r="G11">
        <f t="shared" si="1"/>
        <v>0</v>
      </c>
    </row>
    <row r="12" spans="1:7" ht="12.75">
      <c r="A12" s="7" t="s">
        <v>199</v>
      </c>
      <c r="B12" s="7"/>
      <c r="C12" s="7"/>
      <c r="D12" s="7">
        <v>19238288</v>
      </c>
      <c r="E12" s="8">
        <f t="shared" si="0"/>
        <v>19238288</v>
      </c>
      <c r="F12">
        <v>19238288</v>
      </c>
      <c r="G12">
        <f t="shared" si="1"/>
        <v>0</v>
      </c>
    </row>
    <row r="13" spans="1:7" ht="12.75">
      <c r="A13" s="7" t="s">
        <v>200</v>
      </c>
      <c r="B13" s="7"/>
      <c r="C13" s="7">
        <v>-23666228</v>
      </c>
      <c r="D13" s="7">
        <v>32085021</v>
      </c>
      <c r="E13" s="8">
        <f t="shared" si="0"/>
        <v>8418793</v>
      </c>
      <c r="F13">
        <v>8418793</v>
      </c>
      <c r="G13">
        <f t="shared" si="1"/>
        <v>0</v>
      </c>
    </row>
    <row r="14" spans="1:7" ht="12.75">
      <c r="A14" s="8" t="s">
        <v>472</v>
      </c>
      <c r="B14" s="8">
        <v>-99062446.99</v>
      </c>
      <c r="C14" s="8">
        <v>-269548</v>
      </c>
      <c r="D14" s="8"/>
      <c r="E14" s="8">
        <f t="shared" si="0"/>
        <v>-99331994.99</v>
      </c>
      <c r="F14">
        <v>-99331994.99</v>
      </c>
      <c r="G14">
        <f t="shared" si="1"/>
        <v>0</v>
      </c>
    </row>
    <row r="15" spans="1:7" ht="12.75">
      <c r="A15" s="8" t="s">
        <v>473</v>
      </c>
      <c r="B15" s="8">
        <f>SUM(B16:B23)</f>
        <v>-567546</v>
      </c>
      <c r="C15" s="8">
        <f>SUM(C16:C23)</f>
        <v>-85166616.86</v>
      </c>
      <c r="D15" s="8">
        <f>SUM(D16:D23)</f>
        <v>30262234.08</v>
      </c>
      <c r="E15" s="8">
        <f>SUM(E16:E23)</f>
        <v>-55471928.78</v>
      </c>
      <c r="F15">
        <v>-55471928.78</v>
      </c>
      <c r="G15">
        <f t="shared" si="1"/>
        <v>0</v>
      </c>
    </row>
    <row r="16" spans="1:7" ht="12.75">
      <c r="A16" s="7" t="s">
        <v>213</v>
      </c>
      <c r="B16" s="7"/>
      <c r="C16" s="7">
        <v>-5375</v>
      </c>
      <c r="D16" s="7"/>
      <c r="E16" s="8">
        <f t="shared" si="0"/>
        <v>-5375</v>
      </c>
      <c r="F16">
        <v>-5375</v>
      </c>
      <c r="G16">
        <f t="shared" si="1"/>
        <v>0</v>
      </c>
    </row>
    <row r="17" spans="1:7" ht="12.75">
      <c r="A17" s="7" t="s">
        <v>214</v>
      </c>
      <c r="B17" s="7">
        <v>-71223</v>
      </c>
      <c r="C17" s="7">
        <v>-177550</v>
      </c>
      <c r="D17" s="7">
        <v>175399</v>
      </c>
      <c r="E17" s="8">
        <f t="shared" si="0"/>
        <v>-73374</v>
      </c>
      <c r="F17">
        <v>-73374</v>
      </c>
      <c r="G17">
        <f t="shared" si="1"/>
        <v>0</v>
      </c>
    </row>
    <row r="18" spans="1:7" ht="12.75">
      <c r="A18" s="7" t="s">
        <v>215</v>
      </c>
      <c r="B18" s="7">
        <v>-4509</v>
      </c>
      <c r="C18" s="7"/>
      <c r="D18" s="7"/>
      <c r="E18" s="8">
        <f t="shared" si="0"/>
        <v>-4509</v>
      </c>
      <c r="F18">
        <v>-4509</v>
      </c>
      <c r="G18">
        <f t="shared" si="1"/>
        <v>0</v>
      </c>
    </row>
    <row r="19" spans="1:7" ht="12.75">
      <c r="A19" s="7" t="s">
        <v>216</v>
      </c>
      <c r="B19" s="7">
        <v>-129500</v>
      </c>
      <c r="C19" s="7">
        <v>-34900</v>
      </c>
      <c r="D19" s="7">
        <v>34950</v>
      </c>
      <c r="E19" s="8">
        <f t="shared" si="0"/>
        <v>-129450</v>
      </c>
      <c r="F19">
        <v>-129450</v>
      </c>
      <c r="G19">
        <f t="shared" si="1"/>
        <v>0</v>
      </c>
    </row>
    <row r="20" spans="1:7" ht="12.75">
      <c r="A20" s="7" t="s">
        <v>217</v>
      </c>
      <c r="B20" s="7">
        <v>-205935</v>
      </c>
      <c r="C20" s="7">
        <v>-346754</v>
      </c>
      <c r="D20" s="7">
        <v>188604</v>
      </c>
      <c r="E20" s="8">
        <f t="shared" si="0"/>
        <v>-364085</v>
      </c>
      <c r="F20">
        <v>-364085</v>
      </c>
      <c r="G20">
        <f t="shared" si="1"/>
        <v>0</v>
      </c>
    </row>
    <row r="21" spans="1:7" ht="12.75">
      <c r="A21" s="7" t="s">
        <v>86</v>
      </c>
      <c r="B21" s="7"/>
      <c r="C21" s="7">
        <v>-83187225.86</v>
      </c>
      <c r="D21" s="7">
        <v>28496705.08</v>
      </c>
      <c r="E21" s="8">
        <f t="shared" si="0"/>
        <v>-54690520.78</v>
      </c>
      <c r="F21">
        <v>-54690520.78</v>
      </c>
      <c r="G21">
        <f t="shared" si="1"/>
        <v>0</v>
      </c>
    </row>
    <row r="22" spans="1:7" ht="12.75">
      <c r="A22" s="7" t="s">
        <v>474</v>
      </c>
      <c r="B22" s="7">
        <v>-6852</v>
      </c>
      <c r="C22" s="7">
        <v>-1362451</v>
      </c>
      <c r="D22" s="7">
        <v>1366576</v>
      </c>
      <c r="E22" s="8">
        <f t="shared" si="0"/>
        <v>-2727</v>
      </c>
      <c r="F22">
        <v>-2727</v>
      </c>
      <c r="G22">
        <f t="shared" si="1"/>
        <v>0</v>
      </c>
    </row>
    <row r="23" spans="1:7" ht="12.75">
      <c r="A23" s="7" t="s">
        <v>240</v>
      </c>
      <c r="B23" s="7">
        <v>-149527</v>
      </c>
      <c r="C23" s="7">
        <v>-52361</v>
      </c>
      <c r="D23" s="7"/>
      <c r="E23" s="8">
        <f t="shared" si="0"/>
        <v>-201888</v>
      </c>
      <c r="F23">
        <v>-201888</v>
      </c>
      <c r="G23">
        <f t="shared" si="1"/>
        <v>0</v>
      </c>
    </row>
    <row r="24" spans="1:7" ht="12.75">
      <c r="A24" s="8" t="s">
        <v>475</v>
      </c>
      <c r="B24" s="8">
        <f>SUM(B25:B42)</f>
        <v>75305763.29000002</v>
      </c>
      <c r="C24" s="8">
        <f>SUM(C25:C42)</f>
        <v>-120180891.92</v>
      </c>
      <c r="D24" s="8">
        <f>SUM(D25:D42)</f>
        <v>133141820.07999998</v>
      </c>
      <c r="E24" s="8">
        <f>SUM(E25:E42)</f>
        <v>88266691.44999999</v>
      </c>
      <c r="F24">
        <v>88266691.45</v>
      </c>
      <c r="G24">
        <f t="shared" si="1"/>
        <v>0</v>
      </c>
    </row>
    <row r="25" spans="1:7" ht="12.75">
      <c r="A25" s="7" t="s">
        <v>242</v>
      </c>
      <c r="B25" s="7">
        <v>-4318274</v>
      </c>
      <c r="C25" s="7">
        <v>-32117357.12</v>
      </c>
      <c r="D25" s="7">
        <v>16578636.8</v>
      </c>
      <c r="E25" s="8">
        <f t="shared" si="0"/>
        <v>-19856994.320000004</v>
      </c>
      <c r="F25">
        <v>-19856994.320000004</v>
      </c>
      <c r="G25">
        <f t="shared" si="1"/>
        <v>0</v>
      </c>
    </row>
    <row r="26" spans="1:7" ht="12.75">
      <c r="A26" s="7" t="s">
        <v>243</v>
      </c>
      <c r="B26" s="7"/>
      <c r="C26" s="7">
        <v>-34475893.3</v>
      </c>
      <c r="D26" s="7">
        <v>34453793.3</v>
      </c>
      <c r="E26" s="8">
        <f t="shared" si="0"/>
        <v>-22100</v>
      </c>
      <c r="F26">
        <v>-22100</v>
      </c>
      <c r="G26">
        <f t="shared" si="1"/>
        <v>0</v>
      </c>
    </row>
    <row r="27" spans="1:7" ht="12.75">
      <c r="A27" s="7" t="s">
        <v>476</v>
      </c>
      <c r="B27" s="7"/>
      <c r="C27" s="7">
        <v>-39934824.7</v>
      </c>
      <c r="D27" s="7">
        <v>22098879.5</v>
      </c>
      <c r="E27" s="8">
        <f t="shared" si="0"/>
        <v>-17835945.200000003</v>
      </c>
      <c r="F27">
        <v>-17835945.200000003</v>
      </c>
      <c r="G27">
        <f t="shared" si="1"/>
        <v>0</v>
      </c>
    </row>
    <row r="28" spans="1:7" ht="12.75">
      <c r="A28" s="7" t="s">
        <v>477</v>
      </c>
      <c r="B28" s="7"/>
      <c r="C28" s="7">
        <v>-6263</v>
      </c>
      <c r="D28" s="7">
        <v>2488707</v>
      </c>
      <c r="E28" s="8">
        <f t="shared" si="0"/>
        <v>2482444</v>
      </c>
      <c r="F28">
        <v>2482444</v>
      </c>
      <c r="G28">
        <f t="shared" si="1"/>
        <v>0</v>
      </c>
    </row>
    <row r="29" spans="1:7" ht="12.75">
      <c r="A29" s="7" t="s">
        <v>478</v>
      </c>
      <c r="B29" s="7">
        <v>-294456</v>
      </c>
      <c r="C29" s="7"/>
      <c r="D29" s="7"/>
      <c r="E29" s="8">
        <f t="shared" si="0"/>
        <v>-294456</v>
      </c>
      <c r="F29">
        <v>-294456</v>
      </c>
      <c r="G29">
        <f t="shared" si="1"/>
        <v>0</v>
      </c>
    </row>
    <row r="30" spans="1:7" ht="12.75">
      <c r="A30" s="7" t="s">
        <v>247</v>
      </c>
      <c r="B30" s="7">
        <v>-4611407.18</v>
      </c>
      <c r="C30" s="7">
        <v>-53691</v>
      </c>
      <c r="D30" s="7">
        <v>17554</v>
      </c>
      <c r="E30" s="8">
        <f t="shared" si="0"/>
        <v>-4647544.18</v>
      </c>
      <c r="F30">
        <v>-4647544.18</v>
      </c>
      <c r="G30">
        <f t="shared" si="1"/>
        <v>0</v>
      </c>
    </row>
    <row r="31" spans="1:7" ht="12.75">
      <c r="A31" s="7" t="s">
        <v>479</v>
      </c>
      <c r="B31" s="7">
        <v>-1489265</v>
      </c>
      <c r="C31" s="7"/>
      <c r="D31" s="7"/>
      <c r="E31" s="8">
        <f t="shared" si="0"/>
        <v>-1489265</v>
      </c>
      <c r="F31">
        <v>-1489265</v>
      </c>
      <c r="G31">
        <f t="shared" si="1"/>
        <v>0</v>
      </c>
    </row>
    <row r="32" spans="1:7" ht="12.75">
      <c r="A32" s="7" t="s">
        <v>249</v>
      </c>
      <c r="B32" s="7">
        <v>-395036.68</v>
      </c>
      <c r="C32" s="7">
        <v>-599791</v>
      </c>
      <c r="D32" s="7">
        <v>5400</v>
      </c>
      <c r="E32" s="8">
        <f t="shared" si="0"/>
        <v>-989427.6799999999</v>
      </c>
      <c r="F32">
        <v>-989427.68</v>
      </c>
      <c r="G32">
        <f t="shared" si="1"/>
        <v>0</v>
      </c>
    </row>
    <row r="33" spans="1:7" ht="12.75">
      <c r="A33" s="7" t="s">
        <v>480</v>
      </c>
      <c r="B33" s="7">
        <v>-2524121.83</v>
      </c>
      <c r="C33" s="7">
        <v>-1536628</v>
      </c>
      <c r="D33" s="7">
        <v>178648</v>
      </c>
      <c r="E33" s="8">
        <f t="shared" si="0"/>
        <v>-3882101.83</v>
      </c>
      <c r="F33">
        <v>-3882101.83</v>
      </c>
      <c r="G33">
        <f t="shared" si="1"/>
        <v>0</v>
      </c>
    </row>
    <row r="34" spans="1:7" ht="12.75">
      <c r="A34" s="7" t="s">
        <v>251</v>
      </c>
      <c r="B34" s="7">
        <v>-4018794</v>
      </c>
      <c r="C34" s="7"/>
      <c r="D34" s="7">
        <v>8182370</v>
      </c>
      <c r="E34" s="8">
        <f t="shared" si="0"/>
        <v>4163576</v>
      </c>
      <c r="F34">
        <v>4163576</v>
      </c>
      <c r="G34">
        <f t="shared" si="1"/>
        <v>0</v>
      </c>
    </row>
    <row r="35" spans="1:7" ht="12.75">
      <c r="A35" s="7" t="s">
        <v>252</v>
      </c>
      <c r="B35" s="7">
        <v>-9235428</v>
      </c>
      <c r="C35" s="7">
        <v>-3388141</v>
      </c>
      <c r="D35" s="7">
        <v>7040663</v>
      </c>
      <c r="E35" s="8">
        <f t="shared" si="0"/>
        <v>-5582906</v>
      </c>
      <c r="F35">
        <v>-5582906</v>
      </c>
      <c r="G35">
        <f t="shared" si="1"/>
        <v>0</v>
      </c>
    </row>
    <row r="36" spans="1:7" ht="12.75">
      <c r="A36" s="7" t="s">
        <v>481</v>
      </c>
      <c r="B36" s="7">
        <v>175859101.74</v>
      </c>
      <c r="C36" s="7">
        <v>-7187089.8</v>
      </c>
      <c r="D36" s="7">
        <v>975439.5</v>
      </c>
      <c r="E36" s="8">
        <f t="shared" si="0"/>
        <v>169647451.44</v>
      </c>
      <c r="F36">
        <v>169647451.44</v>
      </c>
      <c r="G36">
        <f t="shared" si="1"/>
        <v>0</v>
      </c>
    </row>
    <row r="37" spans="1:7" ht="12.75">
      <c r="A37" s="7" t="s">
        <v>254</v>
      </c>
      <c r="B37" s="7">
        <v>-12056682.5</v>
      </c>
      <c r="C37" s="7">
        <v>-352721</v>
      </c>
      <c r="D37" s="7">
        <v>19939</v>
      </c>
      <c r="E37" s="8">
        <f t="shared" si="0"/>
        <v>-12389464.5</v>
      </c>
      <c r="F37">
        <v>-12389464.5</v>
      </c>
      <c r="G37">
        <f t="shared" si="1"/>
        <v>0</v>
      </c>
    </row>
    <row r="38" spans="1:7" ht="12.75">
      <c r="A38" s="7" t="s">
        <v>255</v>
      </c>
      <c r="B38" s="7">
        <v>2707620</v>
      </c>
      <c r="C38" s="7"/>
      <c r="D38" s="7"/>
      <c r="E38" s="8">
        <f t="shared" si="0"/>
        <v>2707620</v>
      </c>
      <c r="F38">
        <v>2707620</v>
      </c>
      <c r="G38">
        <f t="shared" si="1"/>
        <v>0</v>
      </c>
    </row>
    <row r="39" spans="1:7" ht="12.75">
      <c r="A39" s="7" t="s">
        <v>256</v>
      </c>
      <c r="B39" s="7">
        <v>2170151</v>
      </c>
      <c r="C39" s="7"/>
      <c r="D39" s="7"/>
      <c r="E39" s="8">
        <f t="shared" si="0"/>
        <v>2170151</v>
      </c>
      <c r="F39">
        <v>2170151</v>
      </c>
      <c r="G39">
        <f t="shared" si="1"/>
        <v>0</v>
      </c>
    </row>
    <row r="40" spans="1:7" ht="12.75">
      <c r="A40" s="7" t="s">
        <v>257</v>
      </c>
      <c r="B40" s="7">
        <v>-65765101.26</v>
      </c>
      <c r="C40" s="7">
        <v>-380892</v>
      </c>
      <c r="D40" s="7">
        <v>40954189.98</v>
      </c>
      <c r="E40" s="8">
        <f t="shared" si="0"/>
        <v>-25191803.28</v>
      </c>
      <c r="F40">
        <v>-25191803.28</v>
      </c>
      <c r="G40">
        <f t="shared" si="1"/>
        <v>0</v>
      </c>
    </row>
    <row r="41" spans="1:7" ht="12.75">
      <c r="A41" s="7" t="s">
        <v>482</v>
      </c>
      <c r="B41" s="7">
        <v>-722543</v>
      </c>
      <c r="C41" s="7"/>
      <c r="D41" s="7"/>
      <c r="E41" s="8">
        <f t="shared" si="0"/>
        <v>-722543</v>
      </c>
      <c r="F41">
        <v>-722543</v>
      </c>
      <c r="G41">
        <f t="shared" si="1"/>
        <v>0</v>
      </c>
    </row>
    <row r="42" spans="1:7" ht="12.75">
      <c r="A42" s="7" t="s">
        <v>483</v>
      </c>
      <c r="B42" s="7"/>
      <c r="C42" s="7">
        <v>-147600</v>
      </c>
      <c r="D42" s="7">
        <v>147600</v>
      </c>
      <c r="E42" s="8">
        <f t="shared" si="0"/>
        <v>0</v>
      </c>
      <c r="F42">
        <v>0</v>
      </c>
      <c r="G42">
        <f t="shared" si="1"/>
        <v>0</v>
      </c>
    </row>
    <row r="43" spans="1:7" ht="12.75">
      <c r="A43" s="8" t="s">
        <v>259</v>
      </c>
      <c r="B43" s="8"/>
      <c r="C43" s="8">
        <v>-1233970</v>
      </c>
      <c r="D43" s="8">
        <v>51559426.5</v>
      </c>
      <c r="E43" s="8">
        <f t="shared" si="0"/>
        <v>50325456.5</v>
      </c>
      <c r="F43">
        <v>50325456.5</v>
      </c>
      <c r="G43">
        <f t="shared" si="1"/>
        <v>0</v>
      </c>
    </row>
    <row r="44" spans="1:7" ht="12.75">
      <c r="A44" s="8" t="s">
        <v>271</v>
      </c>
      <c r="B44" s="8"/>
      <c r="C44" s="8">
        <v>-41664684.68</v>
      </c>
      <c r="D44" s="8">
        <v>11678597</v>
      </c>
      <c r="E44" s="8">
        <f t="shared" si="0"/>
        <v>-29986087.68</v>
      </c>
      <c r="F44">
        <v>-29986087.68</v>
      </c>
      <c r="G44">
        <f t="shared" si="1"/>
        <v>0</v>
      </c>
    </row>
    <row r="45" spans="1:7" ht="12.75">
      <c r="A45" s="8" t="s">
        <v>484</v>
      </c>
      <c r="B45" s="8"/>
      <c r="C45" s="8">
        <v>-5558241</v>
      </c>
      <c r="D45" s="8">
        <v>1229272</v>
      </c>
      <c r="E45" s="8">
        <f t="shared" si="0"/>
        <v>-4328969</v>
      </c>
      <c r="F45">
        <v>-4328969</v>
      </c>
      <c r="G45">
        <f t="shared" si="1"/>
        <v>0</v>
      </c>
    </row>
    <row r="46" spans="1:7" ht="12.75">
      <c r="A46" s="8" t="s">
        <v>485</v>
      </c>
      <c r="B46" s="8"/>
      <c r="C46" s="8">
        <v>-0.18</v>
      </c>
      <c r="D46" s="8">
        <v>3536</v>
      </c>
      <c r="E46" s="8">
        <f t="shared" si="0"/>
        <v>3535.82</v>
      </c>
      <c r="F46">
        <v>3535.82</v>
      </c>
      <c r="G46">
        <f t="shared" si="1"/>
        <v>0</v>
      </c>
    </row>
    <row r="47" spans="1:7" ht="12.75">
      <c r="A47" s="8" t="s">
        <v>486</v>
      </c>
      <c r="B47" s="8"/>
      <c r="C47" s="8">
        <v>-32767992.37</v>
      </c>
      <c r="D47" s="8">
        <v>5797328.69</v>
      </c>
      <c r="E47" s="8">
        <f t="shared" si="0"/>
        <v>-26970663.68</v>
      </c>
      <c r="F47">
        <v>-26970663.68</v>
      </c>
      <c r="G47">
        <f t="shared" si="1"/>
        <v>0</v>
      </c>
    </row>
    <row r="48" spans="1:7" ht="12.75">
      <c r="A48" s="8" t="s">
        <v>487</v>
      </c>
      <c r="B48" s="8"/>
      <c r="C48" s="8">
        <v>-24597904</v>
      </c>
      <c r="D48" s="8">
        <v>7412265</v>
      </c>
      <c r="E48" s="8">
        <f t="shared" si="0"/>
        <v>-17185639</v>
      </c>
      <c r="F48">
        <v>-17185639</v>
      </c>
      <c r="G48">
        <f t="shared" si="1"/>
        <v>0</v>
      </c>
    </row>
    <row r="49" spans="1:7" ht="12.75">
      <c r="A49" s="8" t="s">
        <v>383</v>
      </c>
      <c r="B49" s="8"/>
      <c r="C49" s="8">
        <v>-210314</v>
      </c>
      <c r="D49" s="8">
        <v>30141908</v>
      </c>
      <c r="E49" s="8">
        <f t="shared" si="0"/>
        <v>29931594</v>
      </c>
      <c r="F49">
        <v>29931594</v>
      </c>
      <c r="G49">
        <f t="shared" si="1"/>
        <v>0</v>
      </c>
    </row>
    <row r="50" spans="1:7" ht="12.75">
      <c r="A50" s="8" t="s">
        <v>105</v>
      </c>
      <c r="B50" s="8">
        <v>23629442.2</v>
      </c>
      <c r="C50" s="8"/>
      <c r="D50" s="8"/>
      <c r="E50" s="8">
        <f t="shared" si="0"/>
        <v>23629442.2</v>
      </c>
      <c r="F50">
        <v>23629442.2</v>
      </c>
      <c r="G50">
        <f t="shared" si="1"/>
        <v>0</v>
      </c>
    </row>
    <row r="51" ht="12.75">
      <c r="G51">
        <f t="shared" si="1"/>
        <v>0</v>
      </c>
    </row>
    <row r="52" spans="1:7" ht="12.75">
      <c r="A52" s="6" t="s">
        <v>387</v>
      </c>
      <c r="B52" s="6">
        <f>+B8+B14+B15+B24+B43+B44+B45+B46+B47+B48+B49+B50</f>
        <v>0</v>
      </c>
      <c r="C52" s="6">
        <f>+C8+C14+C15+C24+C43+C44+C45+C46+C47+C48+C49+C50</f>
        <v>-364437068.51000005</v>
      </c>
      <c r="D52" s="6">
        <f>+D8+D14+D15+D24+D43+D44+D45+D46+D47+D48+D49+D50</f>
        <v>364437068.51</v>
      </c>
      <c r="E52" s="6">
        <f>+E8+E14+E15+E24+E43+E44+E45+E46+E47+E48+E49+E50</f>
        <v>0</v>
      </c>
      <c r="G52">
        <f t="shared" si="1"/>
        <v>0</v>
      </c>
    </row>
    <row r="53" ht="12.75">
      <c r="G53">
        <f t="shared" si="1"/>
        <v>0</v>
      </c>
    </row>
    <row r="54" ht="12.75">
      <c r="G54">
        <f t="shared" si="1"/>
        <v>0</v>
      </c>
    </row>
    <row r="55" ht="12.75">
      <c r="G55">
        <f t="shared" si="1"/>
        <v>0</v>
      </c>
    </row>
    <row r="56" ht="12.75">
      <c r="G56">
        <f t="shared" si="1"/>
        <v>0</v>
      </c>
    </row>
  </sheetData>
  <mergeCells count="1">
    <mergeCell ref="C5:D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3"/>
  <sheetViews>
    <sheetView zoomScale="60" zoomScaleNormal="60" workbookViewId="0" topLeftCell="A1">
      <selection activeCell="A23" sqref="A23"/>
    </sheetView>
  </sheetViews>
  <sheetFormatPr defaultColWidth="9.140625" defaultRowHeight="12.75"/>
  <cols>
    <col min="1" max="1" width="43.28125" style="1" customWidth="1"/>
    <col min="2" max="2" width="10.57421875" style="1" customWidth="1"/>
    <col min="3" max="3" width="11.28125" style="1" bestFit="1" customWidth="1"/>
    <col min="4" max="4" width="12.140625" style="1" bestFit="1" customWidth="1"/>
    <col min="5" max="16384" width="9.140625" style="1" customWidth="1"/>
  </cols>
  <sheetData>
    <row r="1" spans="1:2" ht="12.75">
      <c r="A1" s="906" t="s">
        <v>24</v>
      </c>
      <c r="B1" s="906"/>
    </row>
    <row r="2" ht="12.75">
      <c r="A2" s="2" t="s">
        <v>148</v>
      </c>
    </row>
    <row r="3" ht="12.75">
      <c r="A3" s="2" t="s">
        <v>149</v>
      </c>
    </row>
    <row r="5" spans="1:3" ht="12.75">
      <c r="A5" s="906" t="s">
        <v>145</v>
      </c>
      <c r="B5" s="906"/>
      <c r="C5" s="906"/>
    </row>
    <row r="9" spans="1:5" ht="12.75">
      <c r="A9" s="908" t="s">
        <v>16</v>
      </c>
      <c r="B9" s="907" t="s">
        <v>3</v>
      </c>
      <c r="C9" s="907"/>
      <c r="D9" s="907" t="s">
        <v>117</v>
      </c>
      <c r="E9" s="907"/>
    </row>
    <row r="10" spans="1:5" ht="12.75">
      <c r="A10" s="908"/>
      <c r="B10" s="5" t="s">
        <v>115</v>
      </c>
      <c r="C10" s="5" t="s">
        <v>116</v>
      </c>
      <c r="D10" s="5" t="s">
        <v>3</v>
      </c>
      <c r="E10" s="5" t="s">
        <v>118</v>
      </c>
    </row>
    <row r="11" spans="1:5" ht="12.75">
      <c r="A11" s="4"/>
      <c r="B11" s="4"/>
      <c r="C11" s="4"/>
      <c r="D11" s="4"/>
      <c r="E11" s="4"/>
    </row>
    <row r="12" spans="1:5" ht="12.75">
      <c r="A12" s="3" t="s">
        <v>113</v>
      </c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3" t="s">
        <v>43</v>
      </c>
      <c r="B14" s="4"/>
      <c r="C14" s="4"/>
      <c r="D14" s="4"/>
      <c r="E14" s="4"/>
    </row>
    <row r="15" spans="1:5" ht="12.75">
      <c r="A15" s="4" t="s">
        <v>150</v>
      </c>
      <c r="B15" s="4"/>
      <c r="C15" s="4">
        <v>45000</v>
      </c>
      <c r="D15" s="4"/>
      <c r="E15" s="4"/>
    </row>
    <row r="16" spans="1:5" ht="12.75">
      <c r="A16" s="4" t="s">
        <v>151</v>
      </c>
      <c r="B16" s="4"/>
      <c r="C16" s="4">
        <v>52000</v>
      </c>
      <c r="D16" s="4"/>
      <c r="E16" s="4"/>
    </row>
    <row r="17" spans="1:5" ht="12.75">
      <c r="A17" s="4" t="s">
        <v>152</v>
      </c>
      <c r="B17" s="4"/>
      <c r="C17" s="4">
        <v>86000</v>
      </c>
      <c r="D17" s="4"/>
      <c r="E17" s="4"/>
    </row>
    <row r="18" spans="1:5" ht="12.75">
      <c r="A18" s="4" t="s">
        <v>153</v>
      </c>
      <c r="B18" s="4"/>
      <c r="C18" s="4">
        <v>17000</v>
      </c>
      <c r="D18" s="4"/>
      <c r="E18" s="4"/>
    </row>
    <row r="19" spans="1:5" ht="12.75">
      <c r="A19" s="4" t="s">
        <v>154</v>
      </c>
      <c r="B19" s="4"/>
      <c r="C19" s="4">
        <v>130000</v>
      </c>
      <c r="D19" s="4"/>
      <c r="E19" s="4"/>
    </row>
    <row r="20" spans="1:5" ht="12.75">
      <c r="A20" s="4" t="s">
        <v>157</v>
      </c>
      <c r="B20" s="4"/>
      <c r="C20" s="4">
        <v>8000</v>
      </c>
      <c r="D20" s="4"/>
      <c r="E20" s="4"/>
    </row>
    <row r="21" spans="1:5" ht="12.75">
      <c r="A21" s="3"/>
      <c r="B21" s="4"/>
      <c r="C21" s="4"/>
      <c r="D21" s="4"/>
      <c r="E21" s="4"/>
    </row>
    <row r="22" spans="1:5" ht="12.75">
      <c r="A22" s="3" t="s">
        <v>65</v>
      </c>
      <c r="B22" s="4"/>
      <c r="C22" s="4"/>
      <c r="D22" s="4"/>
      <c r="E22" s="4"/>
    </row>
    <row r="23" spans="1:5" ht="12.75">
      <c r="A23" s="4" t="s">
        <v>66</v>
      </c>
      <c r="B23" s="4"/>
      <c r="C23" s="4">
        <v>3900</v>
      </c>
      <c r="D23" s="4"/>
      <c r="E23" s="4"/>
    </row>
    <row r="24" spans="1:5" ht="12.75">
      <c r="A24" s="4" t="s">
        <v>67</v>
      </c>
      <c r="B24" s="4"/>
      <c r="C24" s="4">
        <v>10900</v>
      </c>
      <c r="D24" s="4"/>
      <c r="E24" s="4"/>
    </row>
    <row r="25" spans="1:5" ht="12.75">
      <c r="A25" s="4" t="s">
        <v>38</v>
      </c>
      <c r="B25" s="4"/>
      <c r="C25" s="4">
        <v>1200</v>
      </c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 t="s">
        <v>68</v>
      </c>
      <c r="B27" s="4"/>
      <c r="C27" s="4"/>
      <c r="D27" s="4"/>
      <c r="E27" s="4"/>
    </row>
    <row r="28" spans="1:5" ht="12.75">
      <c r="A28" s="4" t="s">
        <v>70</v>
      </c>
      <c r="B28" s="4"/>
      <c r="C28" s="4"/>
      <c r="D28" s="4"/>
      <c r="E28" s="4"/>
    </row>
    <row r="29" spans="1:5" ht="12.75">
      <c r="A29" s="4" t="s">
        <v>6</v>
      </c>
      <c r="B29" s="4"/>
      <c r="C29" s="4">
        <v>68000</v>
      </c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3" t="s">
        <v>5</v>
      </c>
      <c r="B31" s="4"/>
      <c r="C31" s="4"/>
      <c r="D31" s="4"/>
      <c r="E31" s="4"/>
    </row>
    <row r="32" spans="1:5" ht="12.75">
      <c r="A32" s="4" t="s">
        <v>44</v>
      </c>
      <c r="B32" s="4"/>
      <c r="C32" s="4">
        <v>293000</v>
      </c>
      <c r="D32" s="4"/>
      <c r="E32" s="4"/>
    </row>
    <row r="33" spans="1:5" ht="12.75">
      <c r="A33" s="4" t="s">
        <v>45</v>
      </c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3" t="s">
        <v>10</v>
      </c>
      <c r="B36" s="4"/>
      <c r="C36" s="4"/>
      <c r="D36" s="4"/>
      <c r="E36" s="4"/>
    </row>
    <row r="37" spans="1:5" ht="12.75">
      <c r="A37" s="3"/>
      <c r="B37" s="4"/>
      <c r="C37" s="4"/>
      <c r="D37" s="4"/>
      <c r="E37" s="4"/>
    </row>
    <row r="38" spans="1:5" ht="12.75">
      <c r="A38" s="4" t="s">
        <v>46</v>
      </c>
      <c r="B38" s="4"/>
      <c r="C38" s="4">
        <v>40000</v>
      </c>
      <c r="D38" s="4"/>
      <c r="E38" s="4"/>
    </row>
    <row r="39" spans="1:5" ht="12.75">
      <c r="A39" s="4" t="s">
        <v>47</v>
      </c>
      <c r="B39" s="4"/>
      <c r="C39" s="4"/>
      <c r="D39" s="4"/>
      <c r="E39" s="4"/>
    </row>
    <row r="40" spans="1:5" ht="12.75">
      <c r="A40" s="4" t="s">
        <v>38</v>
      </c>
      <c r="B40" s="4"/>
      <c r="C40" s="4">
        <v>5000</v>
      </c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3" t="s">
        <v>9</v>
      </c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 t="s">
        <v>48</v>
      </c>
      <c r="B44" s="4"/>
      <c r="C44" s="4">
        <v>150000</v>
      </c>
      <c r="D44" s="4"/>
      <c r="E44" s="4"/>
    </row>
    <row r="45" spans="1:5" ht="12.75">
      <c r="A45" s="4" t="s">
        <v>52</v>
      </c>
      <c r="B45" s="4"/>
      <c r="C45" s="4">
        <v>3000</v>
      </c>
      <c r="D45" s="4"/>
      <c r="E45" s="4"/>
    </row>
    <row r="46" spans="1:5" ht="12.75">
      <c r="A46" s="4" t="s">
        <v>12</v>
      </c>
      <c r="B46" s="4"/>
      <c r="C46" s="4">
        <v>3000</v>
      </c>
      <c r="D46" s="4"/>
      <c r="E46" s="4"/>
    </row>
    <row r="47" spans="1:5" ht="12.75">
      <c r="A47" s="4" t="s">
        <v>49</v>
      </c>
      <c r="B47" s="4"/>
      <c r="C47" s="4">
        <v>7000</v>
      </c>
      <c r="D47" s="4"/>
      <c r="E47" s="4"/>
    </row>
    <row r="48" spans="1:5" ht="12.75">
      <c r="A48" s="4" t="s">
        <v>50</v>
      </c>
      <c r="B48" s="4"/>
      <c r="C48" s="4">
        <v>32000</v>
      </c>
      <c r="D48" s="4"/>
      <c r="E48" s="4"/>
    </row>
    <row r="49" spans="1:5" ht="12.75">
      <c r="A49" s="4" t="s">
        <v>51</v>
      </c>
      <c r="B49" s="4"/>
      <c r="C49" s="4">
        <v>5000</v>
      </c>
      <c r="D49" s="4"/>
      <c r="E49" s="4"/>
    </row>
    <row r="50" spans="1:5" ht="12.75">
      <c r="A50" s="4" t="s">
        <v>54</v>
      </c>
      <c r="B50" s="4"/>
      <c r="C50" s="4">
        <v>4000</v>
      </c>
      <c r="D50" s="4"/>
      <c r="E50" s="4"/>
    </row>
    <row r="51" spans="1:5" ht="12.75">
      <c r="A51" s="4" t="s">
        <v>53</v>
      </c>
      <c r="B51" s="4"/>
      <c r="C51" s="4">
        <v>7000</v>
      </c>
      <c r="D51" s="4"/>
      <c r="E51" s="4"/>
    </row>
    <row r="52" spans="1:5" ht="12.75">
      <c r="A52" s="4" t="s">
        <v>55</v>
      </c>
      <c r="B52" s="4"/>
      <c r="C52" s="4"/>
      <c r="D52" s="4"/>
      <c r="E52" s="4"/>
    </row>
    <row r="53" spans="1:5" ht="12.75">
      <c r="A53" s="4" t="s">
        <v>56</v>
      </c>
      <c r="B53" s="4"/>
      <c r="C53" s="4">
        <v>6000</v>
      </c>
      <c r="D53" s="4"/>
      <c r="E53" s="4"/>
    </row>
    <row r="54" spans="1:5" ht="12.75">
      <c r="A54" s="4" t="s">
        <v>30</v>
      </c>
      <c r="B54" s="4"/>
      <c r="C54" s="4">
        <v>10000</v>
      </c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3" t="s">
        <v>11</v>
      </c>
      <c r="B56" s="4"/>
      <c r="C56" s="4"/>
      <c r="D56" s="4"/>
      <c r="E56" s="4"/>
    </row>
    <row r="57" spans="1:5" ht="12.75">
      <c r="A57" s="3"/>
      <c r="B57" s="4"/>
      <c r="C57" s="4"/>
      <c r="D57" s="4"/>
      <c r="E57" s="4"/>
    </row>
    <row r="58" spans="1:5" ht="12.75">
      <c r="A58" s="4" t="s">
        <v>156</v>
      </c>
      <c r="B58" s="4"/>
      <c r="C58" s="4">
        <v>48000</v>
      </c>
      <c r="D58" s="4"/>
      <c r="E58" s="4"/>
    </row>
    <row r="59" spans="1:5" ht="12.75">
      <c r="A59" s="4" t="s">
        <v>57</v>
      </c>
      <c r="B59" s="4"/>
      <c r="C59" s="4">
        <v>50000</v>
      </c>
      <c r="D59" s="4"/>
      <c r="E59" s="4"/>
    </row>
    <row r="60" spans="1:5" ht="12.75">
      <c r="A60" s="4" t="s">
        <v>155</v>
      </c>
      <c r="B60" s="4"/>
      <c r="C60" s="4">
        <v>18000</v>
      </c>
      <c r="D60" s="4"/>
      <c r="E60" s="4"/>
    </row>
    <row r="61" spans="1:5" ht="12.75">
      <c r="A61" s="4" t="s">
        <v>59</v>
      </c>
      <c r="B61" s="4"/>
      <c r="C61" s="4"/>
      <c r="D61" s="4"/>
      <c r="E61" s="4"/>
    </row>
    <row r="63" ht="12.75">
      <c r="C63" s="1" t="s">
        <v>158</v>
      </c>
    </row>
  </sheetData>
  <mergeCells count="5">
    <mergeCell ref="A1:B1"/>
    <mergeCell ref="B9:C9"/>
    <mergeCell ref="A9:A10"/>
    <mergeCell ref="D9:E9"/>
    <mergeCell ref="A5:C5"/>
  </mergeCells>
  <printOptions/>
  <pageMargins left="0.64" right="0.75" top="0.57" bottom="1.0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A5" sqref="A5:E5"/>
    </sheetView>
  </sheetViews>
  <sheetFormatPr defaultColWidth="9.140625" defaultRowHeight="12.75"/>
  <cols>
    <col min="1" max="1" width="21.28125" style="17" bestFit="1" customWidth="1"/>
    <col min="2" max="2" width="18.8515625" style="17" customWidth="1"/>
    <col min="3" max="3" width="18.57421875" style="17" hidden="1" customWidth="1"/>
    <col min="4" max="4" width="25.57421875" style="17" bestFit="1" customWidth="1"/>
    <col min="5" max="5" width="17.00390625" style="17" customWidth="1"/>
    <col min="6" max="6" width="19.57421875" style="17" hidden="1" customWidth="1"/>
    <col min="7" max="16384" width="9.140625" style="17" customWidth="1"/>
  </cols>
  <sheetData>
    <row r="1" spans="1:6" ht="12.75">
      <c r="A1" s="767" t="s">
        <v>24</v>
      </c>
      <c r="B1" s="767"/>
      <c r="C1" s="767"/>
      <c r="D1" s="767"/>
      <c r="E1" s="767"/>
      <c r="F1" s="767"/>
    </row>
    <row r="2" spans="1:4" ht="12.75">
      <c r="A2" s="16"/>
      <c r="B2" s="16"/>
      <c r="C2" s="16"/>
      <c r="D2" s="16"/>
    </row>
    <row r="3" spans="1:2" ht="12.75">
      <c r="A3" s="2" t="s">
        <v>168</v>
      </c>
      <c r="B3" s="2" t="s">
        <v>169</v>
      </c>
    </row>
    <row r="4" spans="1:2" ht="12.75">
      <c r="A4" s="2" t="s">
        <v>171</v>
      </c>
      <c r="B4" s="2" t="s">
        <v>170</v>
      </c>
    </row>
    <row r="5" spans="1:5" ht="12.75">
      <c r="A5" s="767" t="s">
        <v>146</v>
      </c>
      <c r="B5" s="767"/>
      <c r="C5" s="767"/>
      <c r="D5" s="767"/>
      <c r="E5" s="767"/>
    </row>
    <row r="6" spans="3:4" ht="12.75">
      <c r="C6" s="18"/>
      <c r="D6" s="18"/>
    </row>
    <row r="7" spans="1:6" ht="12.75">
      <c r="A7" s="775" t="s">
        <v>73</v>
      </c>
      <c r="B7" s="766" t="s">
        <v>3</v>
      </c>
      <c r="C7" s="766"/>
      <c r="D7" s="20"/>
      <c r="E7" s="766" t="s">
        <v>3</v>
      </c>
      <c r="F7" s="766"/>
    </row>
    <row r="8" spans="1:6" ht="12.75" customHeight="1">
      <c r="A8" s="775"/>
      <c r="B8" s="773" t="s">
        <v>96</v>
      </c>
      <c r="C8" s="776" t="s">
        <v>95</v>
      </c>
      <c r="D8" s="775" t="s">
        <v>74</v>
      </c>
      <c r="E8" s="773" t="s">
        <v>96</v>
      </c>
      <c r="F8" s="773" t="s">
        <v>97</v>
      </c>
    </row>
    <row r="9" spans="1:6" ht="12.75">
      <c r="A9" s="775"/>
      <c r="B9" s="774"/>
      <c r="C9" s="777"/>
      <c r="D9" s="775"/>
      <c r="E9" s="774"/>
      <c r="F9" s="774"/>
    </row>
    <row r="10" spans="1:6" ht="12.75">
      <c r="A10" s="19"/>
      <c r="B10" s="19"/>
      <c r="C10" s="19"/>
      <c r="D10" s="19"/>
      <c r="E10" s="19"/>
      <c r="F10" s="20"/>
    </row>
    <row r="11" spans="1:6" ht="12.75">
      <c r="A11" s="20" t="s">
        <v>76</v>
      </c>
      <c r="B11" s="20">
        <v>169646672.44</v>
      </c>
      <c r="C11" s="20"/>
      <c r="D11" s="21" t="s">
        <v>82</v>
      </c>
      <c r="F11" s="20"/>
    </row>
    <row r="12" spans="1:6" ht="12.75">
      <c r="A12" s="20" t="s">
        <v>173</v>
      </c>
      <c r="B12" s="27">
        <v>-17835945.2</v>
      </c>
      <c r="C12" s="20"/>
      <c r="D12" s="20" t="s">
        <v>83</v>
      </c>
      <c r="E12" s="20">
        <v>99331994.99</v>
      </c>
      <c r="F12" s="20"/>
    </row>
    <row r="13" spans="1:6" ht="12.75">
      <c r="A13" s="20"/>
      <c r="B13" s="20"/>
      <c r="C13" s="20"/>
      <c r="D13" s="20" t="s">
        <v>84</v>
      </c>
      <c r="E13" s="20">
        <v>4875000</v>
      </c>
      <c r="F13" s="20"/>
    </row>
    <row r="14" spans="1:5" ht="12.75">
      <c r="A14" s="20"/>
      <c r="B14" s="20"/>
      <c r="C14" s="20"/>
      <c r="D14" s="20"/>
      <c r="E14" s="20">
        <f>+E12-E13</f>
        <v>94456994.99</v>
      </c>
    </row>
    <row r="15" spans="1:6" ht="12.75">
      <c r="A15" s="20"/>
      <c r="B15" s="20"/>
      <c r="C15" s="20"/>
      <c r="D15" s="20" t="s">
        <v>85</v>
      </c>
      <c r="E15" s="20">
        <v>0</v>
      </c>
      <c r="F15" s="20"/>
    </row>
    <row r="16" spans="1:6" ht="12.75">
      <c r="A16" s="20"/>
      <c r="B16" s="20"/>
      <c r="C16" s="20"/>
      <c r="D16" s="20"/>
      <c r="E16" s="20"/>
      <c r="F16" s="20"/>
    </row>
    <row r="17" spans="1:6" ht="12.75">
      <c r="A17" s="21" t="s">
        <v>75</v>
      </c>
      <c r="C17" s="20"/>
      <c r="D17" s="21" t="s">
        <v>90</v>
      </c>
      <c r="E17" s="27">
        <f>-87819755.45+B11+B12</f>
        <v>63990971.78999999</v>
      </c>
      <c r="F17" s="20"/>
    </row>
    <row r="18" spans="1:6" ht="12.75">
      <c r="A18" s="21" t="s">
        <v>159</v>
      </c>
      <c r="B18" s="20">
        <f>19238288-4875000</f>
        <v>14363288</v>
      </c>
      <c r="C18" s="20"/>
      <c r="D18" s="20"/>
      <c r="E18" s="20"/>
      <c r="F18" s="20"/>
    </row>
    <row r="19" spans="1:6" ht="12.75">
      <c r="A19" s="21"/>
      <c r="B19" s="21"/>
      <c r="C19" s="20"/>
      <c r="D19" s="20"/>
      <c r="E19" s="20"/>
      <c r="F19" s="20"/>
    </row>
    <row r="20" spans="1:6" ht="12.75">
      <c r="A20" s="21" t="s">
        <v>79</v>
      </c>
      <c r="B20" s="21"/>
      <c r="C20" s="20"/>
      <c r="D20" s="21" t="s">
        <v>86</v>
      </c>
      <c r="E20" s="20"/>
      <c r="F20" s="20"/>
    </row>
    <row r="21" spans="1:6" ht="12.75">
      <c r="A21" s="20"/>
      <c r="B21" s="20"/>
      <c r="C21" s="20"/>
      <c r="D21" s="20"/>
      <c r="E21" s="20"/>
      <c r="F21" s="20"/>
    </row>
    <row r="22" spans="1:6" ht="12.75">
      <c r="A22" s="20" t="s">
        <v>77</v>
      </c>
      <c r="B22" s="20">
        <f>+(997111-205342)-1706719+(1533796-43053)+886720+580611+1706719</f>
        <v>3749843</v>
      </c>
      <c r="C22" s="20"/>
      <c r="D22" s="20" t="s">
        <v>91</v>
      </c>
      <c r="E22" s="20"/>
      <c r="F22" s="20"/>
    </row>
    <row r="23" spans="1:6" ht="12.75">
      <c r="A23" s="20" t="s">
        <v>78</v>
      </c>
      <c r="B23" s="20">
        <f>42166598.16-2018039*0-B22-B24-B18-4875000</f>
        <v>11459401.659999996</v>
      </c>
      <c r="C23" s="20"/>
      <c r="D23" s="20" t="s">
        <v>38</v>
      </c>
      <c r="E23" s="20">
        <f>55308437.78-617917</f>
        <v>54690520.78</v>
      </c>
      <c r="F23" s="20"/>
    </row>
    <row r="24" spans="1:6" ht="12.75">
      <c r="A24" s="20" t="s">
        <v>38</v>
      </c>
      <c r="B24" s="20">
        <f>406404.5+3425-4716+9020671-1706719</f>
        <v>7719065.5</v>
      </c>
      <c r="C24" s="20"/>
      <c r="D24" s="20"/>
      <c r="E24" s="20"/>
      <c r="F24" s="20"/>
    </row>
    <row r="25" spans="2:6" ht="12.75">
      <c r="B25" s="21"/>
      <c r="C25" s="20"/>
      <c r="D25" s="20" t="s">
        <v>89</v>
      </c>
      <c r="E25" s="20">
        <f>5375+73374+4509+129450+374520-10435+201824</f>
        <v>778617</v>
      </c>
      <c r="F25" s="20"/>
    </row>
    <row r="26" spans="1:6" ht="12.75">
      <c r="A26" s="21" t="s">
        <v>80</v>
      </c>
      <c r="B26" s="20"/>
      <c r="C26" s="20"/>
      <c r="D26" s="20"/>
      <c r="E26" s="20"/>
      <c r="F26" s="20"/>
    </row>
    <row r="27" spans="1:6" ht="12.75">
      <c r="A27" s="20"/>
      <c r="B27" s="20"/>
      <c r="C27" s="20"/>
      <c r="D27" s="21" t="s">
        <v>87</v>
      </c>
      <c r="E27" s="20"/>
      <c r="F27" s="20"/>
    </row>
    <row r="28" spans="1:6" ht="12.75">
      <c r="A28" s="20" t="s">
        <v>38</v>
      </c>
      <c r="C28" s="20"/>
      <c r="D28" s="20" t="s">
        <v>92</v>
      </c>
      <c r="E28" s="20">
        <v>2727</v>
      </c>
      <c r="F28" s="20"/>
    </row>
    <row r="29" spans="1:6" ht="12.75">
      <c r="A29" s="20"/>
      <c r="B29" s="20"/>
      <c r="C29" s="20"/>
      <c r="D29" s="20" t="s">
        <v>93</v>
      </c>
      <c r="E29" s="20">
        <v>0</v>
      </c>
      <c r="F29" s="20"/>
    </row>
    <row r="30" spans="1:6" ht="12.75">
      <c r="A30" s="20"/>
      <c r="B30" s="20"/>
      <c r="C30" s="20"/>
      <c r="D30" s="20"/>
      <c r="E30" s="20"/>
      <c r="F30" s="20"/>
    </row>
    <row r="31" spans="1:6" ht="12.75">
      <c r="A31" s="21" t="s">
        <v>81</v>
      </c>
      <c r="B31" s="20">
        <f>23629442.2+'Profit &amp; Loss'!D133</f>
        <v>24817506.159999996</v>
      </c>
      <c r="C31" s="20"/>
      <c r="D31" s="21" t="s">
        <v>88</v>
      </c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 t="s">
        <v>94</v>
      </c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1" t="s">
        <v>34</v>
      </c>
      <c r="B35" s="21">
        <f>SUM(B11:B34)</f>
        <v>213919831.56</v>
      </c>
      <c r="C35" s="20"/>
      <c r="D35" s="21" t="s">
        <v>34</v>
      </c>
      <c r="E35" s="21">
        <f>SUM(E14:E34)</f>
        <v>213919831.55999997</v>
      </c>
      <c r="F35" s="20"/>
    </row>
    <row r="36" ht="12.75">
      <c r="B36" s="17">
        <f>+E35-B35</f>
        <v>0</v>
      </c>
    </row>
    <row r="41" ht="12.75">
      <c r="B41" s="22"/>
    </row>
  </sheetData>
  <mergeCells count="10">
    <mergeCell ref="A1:F1"/>
    <mergeCell ref="A5:E5"/>
    <mergeCell ref="E8:E9"/>
    <mergeCell ref="F8:F9"/>
    <mergeCell ref="B7:C7"/>
    <mergeCell ref="E7:F7"/>
    <mergeCell ref="D8:D9"/>
    <mergeCell ref="B8:B9"/>
    <mergeCell ref="A7:A9"/>
    <mergeCell ref="C8:C9"/>
  </mergeCells>
  <printOptions/>
  <pageMargins left="0.5" right="0.5" top="0.54" bottom="1" header="0.5" footer="0.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37.140625" style="142" customWidth="1"/>
    <col min="2" max="2" width="18.8515625" style="142" customWidth="1"/>
    <col min="3" max="3" width="18.57421875" style="142" hidden="1" customWidth="1"/>
    <col min="4" max="4" width="35.28125" style="142" customWidth="1"/>
    <col min="5" max="5" width="17.00390625" style="142" customWidth="1"/>
    <col min="6" max="6" width="19.57421875" style="142" hidden="1" customWidth="1"/>
    <col min="7" max="7" width="11.57421875" style="142" bestFit="1" customWidth="1"/>
    <col min="8" max="8" width="13.7109375" style="142" bestFit="1" customWidth="1"/>
    <col min="9" max="9" width="11.57421875" style="142" bestFit="1" customWidth="1"/>
    <col min="10" max="16384" width="9.140625" style="142" customWidth="1"/>
  </cols>
  <sheetData>
    <row r="1" spans="1:6" ht="12.75">
      <c r="A1" s="780" t="s">
        <v>24</v>
      </c>
      <c r="B1" s="780"/>
      <c r="C1" s="780"/>
      <c r="D1" s="780"/>
      <c r="E1" s="780"/>
      <c r="F1" s="780"/>
    </row>
    <row r="2" spans="1:2" ht="12.75">
      <c r="A2" s="143" t="s">
        <v>463</v>
      </c>
      <c r="B2" s="143"/>
    </row>
    <row r="3" spans="1:2" ht="12.75">
      <c r="A3" s="143" t="s">
        <v>750</v>
      </c>
      <c r="B3" s="143"/>
    </row>
    <row r="4" spans="1:5" ht="12.75">
      <c r="A4" s="780" t="s">
        <v>106</v>
      </c>
      <c r="B4" s="780"/>
      <c r="C4" s="780"/>
      <c r="D4" s="780"/>
      <c r="E4" s="780"/>
    </row>
    <row r="5" spans="3:4" ht="12.75">
      <c r="C5" s="141"/>
      <c r="D5" s="141"/>
    </row>
    <row r="6" spans="1:6" ht="12.75">
      <c r="A6" s="782" t="s">
        <v>73</v>
      </c>
      <c r="B6" s="781" t="s">
        <v>3</v>
      </c>
      <c r="C6" s="781"/>
      <c r="D6" s="778" t="s">
        <v>74</v>
      </c>
      <c r="E6" s="144" t="s">
        <v>3</v>
      </c>
      <c r="F6" s="144"/>
    </row>
    <row r="7" spans="1:6" ht="12.75" customHeight="1">
      <c r="A7" s="782"/>
      <c r="B7" s="145" t="s">
        <v>751</v>
      </c>
      <c r="C7" s="146" t="s">
        <v>95</v>
      </c>
      <c r="D7" s="779"/>
      <c r="E7" s="145" t="s">
        <v>751</v>
      </c>
      <c r="F7" s="147" t="s">
        <v>97</v>
      </c>
    </row>
    <row r="8" spans="1:6" ht="12.75">
      <c r="A8" s="144"/>
      <c r="B8" s="144"/>
      <c r="C8" s="144"/>
      <c r="D8" s="144"/>
      <c r="E8" s="144"/>
      <c r="F8" s="148"/>
    </row>
    <row r="9" spans="1:6" ht="12.75">
      <c r="A9" s="148" t="s">
        <v>76</v>
      </c>
      <c r="B9" s="136">
        <v>0</v>
      </c>
      <c r="C9" s="148"/>
      <c r="D9" s="149" t="s">
        <v>82</v>
      </c>
      <c r="E9" s="148"/>
      <c r="F9" s="148"/>
    </row>
    <row r="10" spans="1:6" ht="12.75">
      <c r="A10" s="148" t="s">
        <v>173</v>
      </c>
      <c r="B10" s="150">
        <v>0</v>
      </c>
      <c r="C10" s="148"/>
      <c r="D10" s="148" t="s">
        <v>83</v>
      </c>
      <c r="E10" s="136">
        <f>+'TB-New'!C17</f>
        <v>98974683.99</v>
      </c>
      <c r="F10" s="148"/>
    </row>
    <row r="11" spans="1:6" ht="12.75">
      <c r="A11" s="148"/>
      <c r="B11" s="148"/>
      <c r="C11" s="148"/>
      <c r="D11" s="148" t="s">
        <v>84</v>
      </c>
      <c r="E11" s="136">
        <f>+'TB-New'!C94</f>
        <v>975000</v>
      </c>
      <c r="F11" s="148"/>
    </row>
    <row r="12" spans="1:6" ht="12.75">
      <c r="A12" s="148"/>
      <c r="B12" s="148"/>
      <c r="C12" s="148"/>
      <c r="D12" s="148"/>
      <c r="E12" s="137">
        <f>+E10-E11</f>
        <v>97999683.99</v>
      </c>
      <c r="F12" s="151"/>
    </row>
    <row r="13" spans="1:6" ht="12.75">
      <c r="A13" s="148"/>
      <c r="B13" s="148"/>
      <c r="C13" s="148"/>
      <c r="D13" s="148" t="s">
        <v>85</v>
      </c>
      <c r="E13" s="136">
        <v>0</v>
      </c>
      <c r="F13" s="148"/>
    </row>
    <row r="14" spans="1:6" ht="12.75">
      <c r="A14" s="148"/>
      <c r="B14" s="148"/>
      <c r="C14" s="148"/>
      <c r="D14" s="148"/>
      <c r="E14" s="136"/>
      <c r="F14" s="148"/>
    </row>
    <row r="15" spans="1:9" ht="12.75">
      <c r="A15" s="149" t="s">
        <v>75</v>
      </c>
      <c r="B15" s="136">
        <v>0</v>
      </c>
      <c r="C15" s="148"/>
      <c r="D15" s="149" t="s">
        <v>90</v>
      </c>
      <c r="E15" s="150">
        <f>+'TB-New'!C27-'TB-New'!D27+B9+B10-E22</f>
        <v>-99889519.80999999</v>
      </c>
      <c r="F15" s="148"/>
      <c r="H15" s="142">
        <f>+E15+E21</f>
        <v>-65433801.18999999</v>
      </c>
      <c r="I15" s="142">
        <f>255749397-183668337.88+0.66+TB!D268</f>
        <v>96770675.18</v>
      </c>
    </row>
    <row r="16" spans="1:8" ht="12.75">
      <c r="A16" s="149" t="s">
        <v>159</v>
      </c>
      <c r="B16" s="136">
        <f>+'TB-New'!D10-E11</f>
        <v>1213000</v>
      </c>
      <c r="C16" s="148"/>
      <c r="D16" s="148"/>
      <c r="E16" s="136"/>
      <c r="F16" s="148"/>
      <c r="H16" s="142">
        <f>+B10</f>
        <v>0</v>
      </c>
    </row>
    <row r="17" spans="1:8" ht="12.75">
      <c r="A17" s="149"/>
      <c r="B17" s="149"/>
      <c r="C17" s="148"/>
      <c r="D17" s="148"/>
      <c r="E17" s="136"/>
      <c r="F17" s="148"/>
      <c r="H17" s="142">
        <f>+B9</f>
        <v>0</v>
      </c>
    </row>
    <row r="18" spans="1:8" ht="12.75">
      <c r="A18" s="149" t="s">
        <v>79</v>
      </c>
      <c r="B18" s="149"/>
      <c r="C18" s="148"/>
      <c r="D18" s="149" t="s">
        <v>86</v>
      </c>
      <c r="E18" s="136"/>
      <c r="F18" s="148"/>
      <c r="H18" s="142">
        <f>+H15-H16-H17</f>
        <v>-65433801.18999999</v>
      </c>
    </row>
    <row r="19" spans="1:6" ht="12.75">
      <c r="A19" s="148"/>
      <c r="B19" s="148"/>
      <c r="C19" s="148"/>
      <c r="D19" s="148"/>
      <c r="E19" s="136"/>
      <c r="F19" s="148"/>
    </row>
    <row r="20" spans="1:9" ht="12.75">
      <c r="A20" s="148" t="s">
        <v>77</v>
      </c>
      <c r="B20" s="136">
        <v>0</v>
      </c>
      <c r="C20" s="148"/>
      <c r="D20" s="148" t="s">
        <v>91</v>
      </c>
      <c r="E20" s="136"/>
      <c r="F20" s="148"/>
      <c r="I20" s="152">
        <f>20643341+6888067-275487-422405</f>
        <v>26833516</v>
      </c>
    </row>
    <row r="21" spans="1:10" ht="12.75">
      <c r="A21" s="148" t="s">
        <v>78</v>
      </c>
      <c r="B21" s="136">
        <v>0</v>
      </c>
      <c r="C21" s="148"/>
      <c r="D21" s="148" t="s">
        <v>38</v>
      </c>
      <c r="E21" s="136">
        <f>+'TB-New'!C25-'TB-New'!D25</f>
        <v>34455718.62</v>
      </c>
      <c r="F21" s="148"/>
      <c r="H21" s="152"/>
      <c r="I21" s="152"/>
      <c r="J21" s="152"/>
    </row>
    <row r="22" spans="1:10" ht="12.75">
      <c r="A22" s="148" t="s">
        <v>38</v>
      </c>
      <c r="B22" s="136">
        <f>+'TB-New'!D7-'TB-New'!C7-B16-E11-B20-B21</f>
        <v>13550165.34</v>
      </c>
      <c r="C22" s="148"/>
      <c r="D22" s="152" t="s">
        <v>388</v>
      </c>
      <c r="E22" s="136">
        <v>0</v>
      </c>
      <c r="F22" s="148"/>
      <c r="H22" s="153"/>
      <c r="I22" s="152"/>
      <c r="J22" s="152"/>
    </row>
    <row r="23" spans="1:10" ht="12.75">
      <c r="A23" s="154"/>
      <c r="B23" s="149"/>
      <c r="C23" s="148"/>
      <c r="D23" s="148"/>
      <c r="E23" s="136"/>
      <c r="F23" s="148"/>
      <c r="H23" s="152"/>
      <c r="I23" s="153"/>
      <c r="J23" s="152"/>
    </row>
    <row r="24" spans="1:10" ht="12.75">
      <c r="A24" s="149"/>
      <c r="B24" s="148"/>
      <c r="C24" s="148"/>
      <c r="D24" s="148" t="s">
        <v>89</v>
      </c>
      <c r="E24" s="136">
        <f>+'TB-New'!C19-'TB-New'!D19</f>
        <v>717624</v>
      </c>
      <c r="F24" s="148"/>
      <c r="H24" s="152"/>
      <c r="I24" s="152"/>
      <c r="J24" s="152"/>
    </row>
    <row r="25" spans="1:10" ht="12.75">
      <c r="A25" s="149" t="s">
        <v>80</v>
      </c>
      <c r="B25" s="136">
        <v>0</v>
      </c>
      <c r="C25" s="148"/>
      <c r="D25" s="148"/>
      <c r="E25" s="136"/>
      <c r="F25" s="148"/>
      <c r="H25" s="152"/>
      <c r="I25" s="152"/>
      <c r="J25" s="152"/>
    </row>
    <row r="26" spans="1:10" ht="12.75">
      <c r="A26" s="148"/>
      <c r="B26" s="152"/>
      <c r="C26" s="148"/>
      <c r="D26" s="149" t="s">
        <v>87</v>
      </c>
      <c r="E26" s="136"/>
      <c r="F26" s="148"/>
      <c r="H26" s="152"/>
      <c r="I26" s="152"/>
      <c r="J26" s="152"/>
    </row>
    <row r="27" spans="1:10" ht="12.75">
      <c r="A27" s="148" t="s">
        <v>38</v>
      </c>
      <c r="B27" s="136">
        <v>0</v>
      </c>
      <c r="C27" s="148"/>
      <c r="D27" s="148" t="s">
        <v>92</v>
      </c>
      <c r="E27" s="136">
        <f>+'TB-New'!C26</f>
        <v>916624</v>
      </c>
      <c r="F27" s="148"/>
      <c r="H27" s="152"/>
      <c r="I27" s="152"/>
      <c r="J27" s="152"/>
    </row>
    <row r="28" spans="1:6" ht="12.75">
      <c r="A28" s="148"/>
      <c r="B28" s="148"/>
      <c r="C28" s="148"/>
      <c r="D28" s="148" t="s">
        <v>93</v>
      </c>
      <c r="E28" s="136">
        <v>0</v>
      </c>
      <c r="F28" s="148"/>
    </row>
    <row r="29" spans="1:6" ht="12.75">
      <c r="A29" s="149" t="s">
        <v>81</v>
      </c>
      <c r="C29" s="148"/>
      <c r="D29" s="148"/>
      <c r="E29" s="136"/>
      <c r="F29" s="148"/>
    </row>
    <row r="30" spans="1:6" ht="12.75">
      <c r="A30" s="148" t="str">
        <f>"As on 01.04.05                  "&amp;ROUND('TB-New'!D161,0)&amp;""</f>
        <v>As on 01.04.05                  19211838</v>
      </c>
      <c r="B30" s="136">
        <f>TB!D256*0</f>
        <v>0</v>
      </c>
      <c r="C30" s="148"/>
      <c r="D30" s="149" t="s">
        <v>88</v>
      </c>
      <c r="E30" s="136" t="e">
        <f>#REF!+Stock!I21</f>
        <v>#REF!</v>
      </c>
      <c r="F30" s="148"/>
    </row>
    <row r="31" spans="1:6" ht="12.75">
      <c r="A31" s="148" t="e">
        <f>"For the year                    "&amp;ROUND(#REF!,0)&amp;""</f>
        <v>#REF!</v>
      </c>
      <c r="B31" s="148" t="e">
        <f>'TB-New'!D161+#REF!</f>
        <v>#REF!</v>
      </c>
      <c r="C31" s="148"/>
      <c r="D31" s="148" t="s">
        <v>94</v>
      </c>
      <c r="E31" s="136">
        <v>0</v>
      </c>
      <c r="F31" s="148"/>
    </row>
    <row r="32" spans="1:6" ht="12.75">
      <c r="A32" s="148"/>
      <c r="B32" s="148"/>
      <c r="C32" s="148"/>
      <c r="D32" s="148"/>
      <c r="E32" s="148"/>
      <c r="F32" s="148"/>
    </row>
    <row r="33" spans="1:6" ht="12.75">
      <c r="A33" s="149" t="s">
        <v>34</v>
      </c>
      <c r="B33" s="137" t="e">
        <f>SUM(B9:B32)</f>
        <v>#REF!</v>
      </c>
      <c r="C33" s="148"/>
      <c r="D33" s="149" t="s">
        <v>34</v>
      </c>
      <c r="E33" s="137" t="e">
        <f>SUM(E12:E32)</f>
        <v>#REF!</v>
      </c>
      <c r="F33" s="148"/>
    </row>
    <row r="34" ht="12.75">
      <c r="B34" s="155" t="e">
        <f>+B33-E33</f>
        <v>#REF!</v>
      </c>
    </row>
    <row r="36" ht="12.75">
      <c r="B36" s="156"/>
    </row>
    <row r="39" ht="12.75">
      <c r="B39" s="157"/>
    </row>
  </sheetData>
  <mergeCells count="5">
    <mergeCell ref="D6:D7"/>
    <mergeCell ref="A1:F1"/>
    <mergeCell ref="A4:E4"/>
    <mergeCell ref="B6:C6"/>
    <mergeCell ref="A6:A7"/>
  </mergeCells>
  <printOptions horizontalCentered="1"/>
  <pageMargins left="0.43" right="0.43" top="0.9" bottom="1" header="0.5" footer="0.5"/>
  <pageSetup fitToHeight="1" fitToWidth="1" horizontalDpi="300" verticalDpi="300" orientation="portrait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60" zoomScaleNormal="60" workbookViewId="0" topLeftCell="A1">
      <selection activeCell="D43" sqref="D43:D44"/>
    </sheetView>
  </sheetViews>
  <sheetFormatPr defaultColWidth="9.140625" defaultRowHeight="12.75"/>
  <cols>
    <col min="1" max="1" width="8.00390625" style="1" customWidth="1"/>
    <col min="2" max="2" width="37.140625" style="1" customWidth="1"/>
    <col min="3" max="3" width="17.140625" style="80" customWidth="1"/>
    <col min="4" max="4" width="50.8515625" style="1" customWidth="1"/>
    <col min="5" max="16384" width="9.140625" style="1" customWidth="1"/>
  </cols>
  <sheetData>
    <row r="1" ht="12.75">
      <c r="A1" s="2" t="s">
        <v>695</v>
      </c>
    </row>
    <row r="3" spans="1:4" ht="12.75">
      <c r="A3" s="158" t="s">
        <v>685</v>
      </c>
      <c r="B3" s="173" t="s">
        <v>674</v>
      </c>
      <c r="C3" s="177" t="s">
        <v>675</v>
      </c>
      <c r="D3" s="158" t="s">
        <v>678</v>
      </c>
    </row>
    <row r="4" spans="1:4" ht="12.75">
      <c r="A4" s="176" t="s">
        <v>684</v>
      </c>
      <c r="B4" s="174"/>
      <c r="C4" s="178" t="s">
        <v>676</v>
      </c>
      <c r="D4" s="160"/>
    </row>
    <row r="5" spans="1:4" ht="12.75">
      <c r="A5" s="161"/>
      <c r="B5" s="175"/>
      <c r="C5" s="179" t="s">
        <v>677</v>
      </c>
      <c r="D5" s="161"/>
    </row>
    <row r="6" spans="1:4" ht="12.75" hidden="1">
      <c r="A6" s="160"/>
      <c r="B6" s="159"/>
      <c r="C6" s="162"/>
      <c r="D6" s="159"/>
    </row>
    <row r="7" spans="1:4" ht="12.75" hidden="1">
      <c r="A7" s="163">
        <v>1</v>
      </c>
      <c r="B7" s="160" t="s">
        <v>131</v>
      </c>
      <c r="C7" s="164"/>
      <c r="D7" s="160" t="s">
        <v>682</v>
      </c>
    </row>
    <row r="8" spans="1:4" ht="12.75" hidden="1">
      <c r="A8" s="161"/>
      <c r="B8" s="161"/>
      <c r="C8" s="166"/>
      <c r="D8" s="161"/>
    </row>
    <row r="9" spans="1:4" ht="12.75">
      <c r="A9" s="159"/>
      <c r="B9" s="159"/>
      <c r="C9" s="162"/>
      <c r="D9" s="159"/>
    </row>
    <row r="10" spans="1:4" ht="12.75">
      <c r="A10" s="163">
        <v>1</v>
      </c>
      <c r="B10" s="160" t="s">
        <v>767</v>
      </c>
      <c r="C10" s="164">
        <f>338108-308820-13615</f>
        <v>15673</v>
      </c>
      <c r="D10" s="783" t="s">
        <v>738</v>
      </c>
    </row>
    <row r="11" spans="1:4" ht="12.75">
      <c r="A11" s="165"/>
      <c r="B11" s="161"/>
      <c r="C11" s="166"/>
      <c r="D11" s="784"/>
    </row>
    <row r="12" spans="1:4" ht="12.75" hidden="1">
      <c r="A12" s="167"/>
      <c r="B12" s="159"/>
      <c r="C12" s="162"/>
      <c r="D12" s="159"/>
    </row>
    <row r="13" spans="1:4" ht="12.75" hidden="1">
      <c r="A13" s="163">
        <v>2</v>
      </c>
      <c r="B13" s="160" t="s">
        <v>604</v>
      </c>
      <c r="C13" s="164">
        <f>95885-62806</f>
        <v>33079</v>
      </c>
      <c r="D13" s="170" t="s">
        <v>679</v>
      </c>
    </row>
    <row r="14" spans="1:4" ht="12.75" hidden="1">
      <c r="A14" s="165"/>
      <c r="B14" s="161"/>
      <c r="C14" s="166"/>
      <c r="D14" s="161"/>
    </row>
    <row r="15" spans="1:4" ht="12.75">
      <c r="A15" s="163"/>
      <c r="B15" s="160"/>
      <c r="C15" s="164"/>
      <c r="D15" s="160"/>
    </row>
    <row r="16" spans="1:4" ht="12.75">
      <c r="A16" s="163">
        <v>2</v>
      </c>
      <c r="B16" s="160" t="s">
        <v>302</v>
      </c>
      <c r="C16" s="164">
        <f>194648-104867</f>
        <v>89781</v>
      </c>
      <c r="D16" s="160" t="s">
        <v>739</v>
      </c>
    </row>
    <row r="17" spans="1:4" ht="12.75">
      <c r="A17" s="163"/>
      <c r="B17" s="160"/>
      <c r="C17" s="164"/>
      <c r="D17" s="160"/>
    </row>
    <row r="18" spans="1:4" ht="12.75">
      <c r="A18" s="167"/>
      <c r="B18" s="159"/>
      <c r="C18" s="162"/>
      <c r="D18" s="159"/>
    </row>
    <row r="19" spans="1:4" ht="12.75" customHeight="1">
      <c r="A19" s="163">
        <v>3</v>
      </c>
      <c r="B19" s="160" t="s">
        <v>696</v>
      </c>
      <c r="C19" s="164">
        <f>67933-48509</f>
        <v>19424</v>
      </c>
      <c r="D19" s="785" t="s">
        <v>740</v>
      </c>
    </row>
    <row r="20" spans="1:4" ht="12.75">
      <c r="A20" s="165"/>
      <c r="B20" s="161"/>
      <c r="C20" s="166"/>
      <c r="D20" s="786"/>
    </row>
    <row r="21" spans="1:4" ht="12.75">
      <c r="A21" s="167"/>
      <c r="B21" s="159"/>
      <c r="C21" s="162"/>
      <c r="D21" s="159"/>
    </row>
    <row r="22" spans="1:4" ht="12.75" customHeight="1">
      <c r="A22" s="163">
        <v>4</v>
      </c>
      <c r="B22" s="160" t="s">
        <v>54</v>
      </c>
      <c r="C22" s="164">
        <f>22377-4492</f>
        <v>17885</v>
      </c>
      <c r="D22" s="785" t="s">
        <v>741</v>
      </c>
    </row>
    <row r="23" spans="1:4" ht="12.75">
      <c r="A23" s="165"/>
      <c r="B23" s="161"/>
      <c r="C23" s="166"/>
      <c r="D23" s="786"/>
    </row>
    <row r="24" spans="1:4" ht="12.75">
      <c r="A24" s="163"/>
      <c r="B24" s="160"/>
      <c r="C24" s="164"/>
      <c r="D24" s="169"/>
    </row>
    <row r="25" spans="1:4" ht="12.75">
      <c r="A25" s="163">
        <v>5</v>
      </c>
      <c r="B25" s="160" t="s">
        <v>725</v>
      </c>
      <c r="C25" s="164">
        <f>45958-40912</f>
        <v>5046</v>
      </c>
      <c r="D25" s="201" t="s">
        <v>743</v>
      </c>
    </row>
    <row r="26" spans="1:4" ht="12.75">
      <c r="A26" s="163"/>
      <c r="B26" s="160"/>
      <c r="C26" s="164"/>
      <c r="D26" s="200"/>
    </row>
    <row r="27" spans="1:4" ht="12.75">
      <c r="A27" s="167"/>
      <c r="B27" s="159"/>
      <c r="C27" s="162"/>
      <c r="D27" s="159"/>
    </row>
    <row r="28" spans="1:4" ht="12.75">
      <c r="A28" s="163">
        <v>6</v>
      </c>
      <c r="B28" s="160" t="s">
        <v>680</v>
      </c>
      <c r="C28" s="164">
        <f>3400-9489</f>
        <v>-6089</v>
      </c>
      <c r="D28" s="785" t="s">
        <v>742</v>
      </c>
    </row>
    <row r="29" spans="1:4" ht="12.75">
      <c r="A29" s="165"/>
      <c r="B29" s="161"/>
      <c r="C29" s="166"/>
      <c r="D29" s="786"/>
    </row>
    <row r="30" spans="1:4" ht="12.75">
      <c r="A30" s="167"/>
      <c r="B30" s="159"/>
      <c r="C30" s="162"/>
      <c r="D30" s="159"/>
    </row>
    <row r="31" spans="1:4" ht="12.75">
      <c r="A31" s="163">
        <v>7</v>
      </c>
      <c r="B31" s="160" t="s">
        <v>683</v>
      </c>
      <c r="C31" s="164">
        <f>4850-11700</f>
        <v>-6850</v>
      </c>
      <c r="D31" s="783" t="s">
        <v>744</v>
      </c>
    </row>
    <row r="32" spans="1:4" ht="12.75">
      <c r="A32" s="165"/>
      <c r="B32" s="161"/>
      <c r="C32" s="166"/>
      <c r="D32" s="784"/>
    </row>
    <row r="33" spans="1:4" ht="12.75">
      <c r="A33" s="167"/>
      <c r="B33" s="159"/>
      <c r="C33" s="162"/>
      <c r="D33" s="159"/>
    </row>
    <row r="34" spans="1:4" ht="12.75">
      <c r="A34" s="163">
        <v>8</v>
      </c>
      <c r="B34" s="160" t="s">
        <v>681</v>
      </c>
      <c r="C34" s="164">
        <f>23662-18436</f>
        <v>5226</v>
      </c>
      <c r="D34" s="783" t="s">
        <v>745</v>
      </c>
    </row>
    <row r="35" spans="1:4" ht="12.75">
      <c r="A35" s="165"/>
      <c r="B35" s="161"/>
      <c r="C35" s="166"/>
      <c r="D35" s="784"/>
    </row>
    <row r="36" spans="1:4" ht="12.75">
      <c r="A36" s="163"/>
      <c r="B36" s="160"/>
      <c r="C36" s="164"/>
      <c r="D36" s="169"/>
    </row>
    <row r="37" spans="1:4" ht="12.75">
      <c r="A37" s="163">
        <v>9</v>
      </c>
      <c r="B37" s="160" t="s">
        <v>11</v>
      </c>
      <c r="C37" s="164">
        <f>33456-60348</f>
        <v>-26892</v>
      </c>
      <c r="D37" s="202" t="s">
        <v>749</v>
      </c>
    </row>
    <row r="38" spans="1:4" ht="12.75">
      <c r="A38" s="163"/>
      <c r="B38" s="160"/>
      <c r="C38" s="164"/>
      <c r="D38" s="169"/>
    </row>
    <row r="39" spans="1:4" ht="12.75">
      <c r="A39" s="167"/>
      <c r="B39" s="159"/>
      <c r="C39" s="162"/>
      <c r="D39" s="168"/>
    </row>
    <row r="40" spans="1:4" ht="12.75">
      <c r="A40" s="163">
        <v>10</v>
      </c>
      <c r="B40" s="160" t="s">
        <v>746</v>
      </c>
      <c r="C40" s="164">
        <v>26603</v>
      </c>
      <c r="D40" s="785" t="s">
        <v>747</v>
      </c>
    </row>
    <row r="41" spans="1:4" ht="12.75">
      <c r="A41" s="165"/>
      <c r="B41" s="161"/>
      <c r="C41" s="166"/>
      <c r="D41" s="786"/>
    </row>
    <row r="42" spans="1:4" ht="12.75">
      <c r="A42" s="167"/>
      <c r="B42" s="159"/>
      <c r="C42" s="162"/>
      <c r="D42" s="159"/>
    </row>
    <row r="43" spans="1:4" ht="12.75">
      <c r="A43" s="163">
        <v>11</v>
      </c>
      <c r="B43" s="160" t="s">
        <v>697</v>
      </c>
      <c r="C43" s="164">
        <f>148912-237094</f>
        <v>-88182</v>
      </c>
      <c r="D43" s="783" t="s">
        <v>748</v>
      </c>
    </row>
    <row r="44" spans="1:4" ht="12.75">
      <c r="A44" s="163"/>
      <c r="B44" s="160" t="s">
        <v>698</v>
      </c>
      <c r="C44" s="164"/>
      <c r="D44" s="783"/>
    </row>
    <row r="45" spans="1:4" ht="12.75">
      <c r="A45" s="165"/>
      <c r="B45" s="161"/>
      <c r="C45" s="166"/>
      <c r="D45" s="161"/>
    </row>
    <row r="46" ht="12.75">
      <c r="A46" s="140"/>
    </row>
    <row r="47" spans="1:4" ht="12.75">
      <c r="A47" s="1" t="s">
        <v>691</v>
      </c>
      <c r="B47" s="787" t="s">
        <v>692</v>
      </c>
      <c r="C47" s="788"/>
      <c r="D47" s="788"/>
    </row>
    <row r="48" spans="2:4" ht="12.75">
      <c r="B48" s="788"/>
      <c r="C48" s="788"/>
      <c r="D48" s="788"/>
    </row>
    <row r="65" ht="12.75">
      <c r="G65" s="1">
        <v>0</v>
      </c>
    </row>
  </sheetData>
  <mergeCells count="9">
    <mergeCell ref="D10:D11"/>
    <mergeCell ref="D19:D20"/>
    <mergeCell ref="D22:D23"/>
    <mergeCell ref="B47:D48"/>
    <mergeCell ref="D40:D41"/>
    <mergeCell ref="D43:D44"/>
    <mergeCell ref="D31:D32"/>
    <mergeCell ref="D28:D29"/>
    <mergeCell ref="D34:D35"/>
  </mergeCells>
  <printOptions horizontalCentered="1"/>
  <pageMargins left="0.498031496" right="0.498031496" top="0.46" bottom="0" header="0.03" footer="0"/>
  <pageSetup fitToHeight="1" fitToWidth="1" horizontalDpi="600" verticalDpi="600" orientation="landscape" paperSize="9" r:id="rId1"/>
  <rowBreaks count="1" manualBreakCount="1">
    <brk id="3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C8:D13"/>
  <sheetViews>
    <sheetView view="pageBreakPreview" zoomScale="70" zoomScaleNormal="55" zoomScaleSheetLayoutView="70" workbookViewId="0" topLeftCell="A1">
      <selection activeCell="C19" sqref="C19"/>
    </sheetView>
  </sheetViews>
  <sheetFormatPr defaultColWidth="9.140625" defaultRowHeight="12.75"/>
  <cols>
    <col min="1" max="1" width="5.8515625" style="293" customWidth="1"/>
    <col min="2" max="11" width="9.140625" style="293" customWidth="1"/>
    <col min="12" max="12" width="10.28125" style="293" customWidth="1"/>
    <col min="13" max="13" width="4.7109375" style="293" customWidth="1"/>
    <col min="14" max="16384" width="9.140625" style="293" customWidth="1"/>
  </cols>
  <sheetData>
    <row r="2" ht="13.5"/>
    <row r="3" ht="13.5"/>
    <row r="4" ht="13.5"/>
    <row r="5" ht="13.5"/>
    <row r="6" ht="13.5"/>
    <row r="7" ht="14.25" thickBot="1"/>
    <row r="8" spans="3:4" ht="13.5">
      <c r="C8" s="741"/>
      <c r="D8" s="742"/>
    </row>
    <row r="9" spans="3:4" ht="13.5">
      <c r="C9" s="743"/>
      <c r="D9" s="744"/>
    </row>
    <row r="10" spans="3:4" ht="20.25">
      <c r="C10" s="757" t="s">
        <v>1046</v>
      </c>
      <c r="D10" s="744"/>
    </row>
    <row r="11" spans="3:4" ht="13.5">
      <c r="C11" s="743"/>
      <c r="D11" s="744"/>
    </row>
    <row r="12" spans="3:4" ht="13.5">
      <c r="C12" s="743"/>
      <c r="D12" s="744"/>
    </row>
    <row r="13" spans="3:4" ht="14.25" thickBot="1">
      <c r="C13" s="745"/>
      <c r="D13" s="746"/>
    </row>
  </sheetData>
  <printOptions horizontalCentered="1" verticalCentered="1"/>
  <pageMargins left="0.42" right="0.34" top="0.3" bottom="0.63" header="0.24" footer="0.5"/>
  <pageSetup horizontalDpi="300" verticalDpi="3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134"/>
  <sheetViews>
    <sheetView view="pageBreakPreview" zoomScaleNormal="8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6.8515625" style="213" customWidth="1"/>
    <col min="2" max="2" width="44.8515625" style="213" customWidth="1"/>
    <col min="3" max="3" width="16.140625" style="213" bestFit="1" customWidth="1"/>
    <col min="4" max="4" width="14.421875" style="213" bestFit="1" customWidth="1"/>
    <col min="5" max="5" width="17.8515625" style="213" bestFit="1" customWidth="1"/>
    <col min="6" max="6" width="16.140625" style="213" bestFit="1" customWidth="1"/>
    <col min="7" max="7" width="12.28125" style="213" customWidth="1"/>
    <col min="8" max="8" width="13.8515625" style="213" bestFit="1" customWidth="1"/>
    <col min="9" max="9" width="11.28125" style="213" bestFit="1" customWidth="1"/>
    <col min="10" max="16384" width="9.140625" style="213" customWidth="1"/>
  </cols>
  <sheetData>
    <row r="1" spans="1:10" ht="12.75">
      <c r="A1" s="792" t="s">
        <v>952</v>
      </c>
      <c r="B1" s="793"/>
      <c r="C1" s="793"/>
      <c r="D1" s="793"/>
      <c r="E1" s="793"/>
      <c r="F1" s="758"/>
      <c r="G1" s="212"/>
      <c r="H1" s="212"/>
      <c r="I1" s="212"/>
      <c r="J1" s="212"/>
    </row>
    <row r="2" spans="1:10" ht="12.75">
      <c r="A2" s="759"/>
      <c r="B2" s="760"/>
      <c r="C2" s="760"/>
      <c r="D2" s="760"/>
      <c r="E2" s="760"/>
      <c r="F2" s="761"/>
      <c r="G2" s="212"/>
      <c r="H2" s="212"/>
      <c r="I2" s="212"/>
      <c r="J2" s="212"/>
    </row>
    <row r="3" spans="1:10" s="234" customFormat="1" ht="12.75">
      <c r="A3" s="789"/>
      <c r="B3" s="790" t="s">
        <v>178</v>
      </c>
      <c r="C3" s="226" t="s">
        <v>115</v>
      </c>
      <c r="D3" s="226" t="s">
        <v>768</v>
      </c>
      <c r="E3" s="226" t="s">
        <v>115</v>
      </c>
      <c r="F3" s="294" t="s">
        <v>115</v>
      </c>
      <c r="G3" s="233"/>
      <c r="H3" s="233"/>
      <c r="I3" s="233"/>
      <c r="J3" s="233"/>
    </row>
    <row r="4" spans="1:10" s="234" customFormat="1" ht="12.75">
      <c r="A4" s="789"/>
      <c r="B4" s="791"/>
      <c r="C4" s="226" t="s">
        <v>951</v>
      </c>
      <c r="D4" s="226" t="s">
        <v>1020</v>
      </c>
      <c r="E4" s="226" t="s">
        <v>1020</v>
      </c>
      <c r="F4" s="294" t="s">
        <v>1021</v>
      </c>
      <c r="G4" s="233"/>
      <c r="H4" s="233"/>
      <c r="I4" s="233"/>
      <c r="J4" s="233"/>
    </row>
    <row r="5" spans="1:10" s="234" customFormat="1" ht="12.75" customHeight="1">
      <c r="A5" s="375"/>
      <c r="B5" s="294"/>
      <c r="C5" s="294"/>
      <c r="D5" s="294"/>
      <c r="E5" s="294"/>
      <c r="F5" s="294"/>
      <c r="G5" s="233"/>
      <c r="H5" s="233"/>
      <c r="I5" s="233"/>
      <c r="J5" s="233"/>
    </row>
    <row r="6" spans="1:10" ht="12.75">
      <c r="A6" s="295"/>
      <c r="B6" s="227" t="s">
        <v>25</v>
      </c>
      <c r="C6" s="227">
        <f>SUM(C7:C14)</f>
        <v>0</v>
      </c>
      <c r="D6" s="227">
        <f>SUM(D7:D14)</f>
        <v>0</v>
      </c>
      <c r="E6" s="227">
        <f>SUM(E7:E14)</f>
        <v>0</v>
      </c>
      <c r="F6" s="381">
        <f>SUM(F7:F14)</f>
        <v>0</v>
      </c>
      <c r="G6" s="212"/>
      <c r="H6" s="212"/>
      <c r="I6" s="212"/>
      <c r="J6" s="212"/>
    </row>
    <row r="7" spans="1:10" ht="12.75">
      <c r="A7" s="296"/>
      <c r="B7" s="238" t="s">
        <v>787</v>
      </c>
      <c r="C7" s="243">
        <v>0</v>
      </c>
      <c r="D7" s="243">
        <v>0</v>
      </c>
      <c r="E7" s="243">
        <v>0</v>
      </c>
      <c r="F7" s="383">
        <f>+C7+E7</f>
        <v>0</v>
      </c>
      <c r="G7" s="229"/>
      <c r="H7" s="212"/>
      <c r="I7" s="212"/>
      <c r="J7" s="212"/>
    </row>
    <row r="8" spans="1:10" ht="12.75">
      <c r="A8" s="296"/>
      <c r="B8" s="610" t="s">
        <v>830</v>
      </c>
      <c r="C8" s="243">
        <v>0</v>
      </c>
      <c r="D8" s="243">
        <v>0</v>
      </c>
      <c r="E8" s="243">
        <v>0</v>
      </c>
      <c r="F8" s="383">
        <f>+C8+E8</f>
        <v>0</v>
      </c>
      <c r="G8" s="229"/>
      <c r="H8" s="212"/>
      <c r="I8" s="212"/>
      <c r="J8" s="212"/>
    </row>
    <row r="9" spans="1:10" ht="12.75">
      <c r="A9" s="296"/>
      <c r="B9" s="238" t="s">
        <v>788</v>
      </c>
      <c r="C9" s="243">
        <v>0</v>
      </c>
      <c r="D9" s="243">
        <v>0</v>
      </c>
      <c r="E9" s="243">
        <v>0</v>
      </c>
      <c r="F9" s="383">
        <v>0</v>
      </c>
      <c r="G9" s="212"/>
      <c r="H9" s="212"/>
      <c r="I9" s="212"/>
      <c r="J9" s="212"/>
    </row>
    <row r="10" spans="1:10" ht="12.75">
      <c r="A10" s="296"/>
      <c r="B10" s="238" t="s">
        <v>789</v>
      </c>
      <c r="C10" s="243">
        <v>0</v>
      </c>
      <c r="D10" s="243">
        <v>0</v>
      </c>
      <c r="E10" s="243">
        <v>0</v>
      </c>
      <c r="F10" s="383">
        <f>+C10+E10</f>
        <v>0</v>
      </c>
      <c r="G10" s="212"/>
      <c r="H10" s="212"/>
      <c r="I10" s="212"/>
      <c r="J10" s="212"/>
    </row>
    <row r="11" spans="1:10" ht="12.75">
      <c r="A11" s="296"/>
      <c r="B11" s="238" t="s">
        <v>790</v>
      </c>
      <c r="C11" s="243">
        <v>0</v>
      </c>
      <c r="D11" s="243">
        <v>0</v>
      </c>
      <c r="E11" s="243">
        <v>0</v>
      </c>
      <c r="F11" s="383">
        <v>0</v>
      </c>
      <c r="G11" s="212"/>
      <c r="H11" s="212"/>
      <c r="I11" s="212"/>
      <c r="J11" s="212"/>
    </row>
    <row r="12" spans="1:10" ht="12.75">
      <c r="A12" s="296"/>
      <c r="B12" s="238" t="s">
        <v>861</v>
      </c>
      <c r="C12" s="243">
        <v>0</v>
      </c>
      <c r="D12" s="243">
        <v>0</v>
      </c>
      <c r="E12" s="243">
        <v>0</v>
      </c>
      <c r="F12" s="383">
        <v>0</v>
      </c>
      <c r="G12" s="212"/>
      <c r="H12" s="212"/>
      <c r="I12" s="212"/>
      <c r="J12" s="212"/>
    </row>
    <row r="13" spans="1:10" ht="12.75">
      <c r="A13" s="296"/>
      <c r="B13" s="238" t="s">
        <v>792</v>
      </c>
      <c r="C13" s="243">
        <v>0</v>
      </c>
      <c r="D13" s="243">
        <v>0</v>
      </c>
      <c r="E13" s="243">
        <v>0</v>
      </c>
      <c r="F13" s="383">
        <v>0</v>
      </c>
      <c r="G13" s="212"/>
      <c r="H13" s="212"/>
      <c r="I13" s="212"/>
      <c r="J13" s="212"/>
    </row>
    <row r="14" spans="1:10" ht="12.75">
      <c r="A14" s="296"/>
      <c r="B14" s="238" t="s">
        <v>803</v>
      </c>
      <c r="C14" s="243">
        <v>0</v>
      </c>
      <c r="D14" s="243">
        <v>0</v>
      </c>
      <c r="E14" s="243">
        <v>0</v>
      </c>
      <c r="F14" s="383">
        <v>0</v>
      </c>
      <c r="G14" s="212"/>
      <c r="H14" s="212"/>
      <c r="I14" s="212"/>
      <c r="J14" s="212"/>
    </row>
    <row r="15" spans="1:10" ht="12.75">
      <c r="A15" s="296"/>
      <c r="B15" s="238"/>
      <c r="C15" s="243"/>
      <c r="D15" s="243"/>
      <c r="E15" s="243"/>
      <c r="F15" s="382"/>
      <c r="G15" s="212"/>
      <c r="H15" s="212"/>
      <c r="I15" s="212"/>
      <c r="J15" s="212"/>
    </row>
    <row r="16" spans="1:10" ht="12.75">
      <c r="A16" s="295" t="s">
        <v>41</v>
      </c>
      <c r="B16" s="227" t="s">
        <v>60</v>
      </c>
      <c r="C16" s="227">
        <f>SUM(C17:C24)</f>
        <v>0</v>
      </c>
      <c r="D16" s="227">
        <f>SUM(D17:D24)</f>
        <v>0</v>
      </c>
      <c r="E16" s="227">
        <f>SUM(E17:E24)</f>
        <v>0</v>
      </c>
      <c r="F16" s="381">
        <f>SUM(F17:F24)</f>
        <v>0</v>
      </c>
      <c r="G16" s="212"/>
      <c r="H16" s="212"/>
      <c r="I16" s="212"/>
      <c r="J16" s="212"/>
    </row>
    <row r="17" spans="1:10" ht="12.75">
      <c r="A17" s="296"/>
      <c r="B17" s="238" t="s">
        <v>787</v>
      </c>
      <c r="C17" s="243">
        <v>0</v>
      </c>
      <c r="D17" s="243">
        <v>0</v>
      </c>
      <c r="E17" s="243">
        <v>0</v>
      </c>
      <c r="F17" s="383">
        <f aca="true" t="shared" si="0" ref="F17:F22">+C17+E17</f>
        <v>0</v>
      </c>
      <c r="G17" s="212"/>
      <c r="H17" s="212"/>
      <c r="I17" s="212"/>
      <c r="J17" s="212"/>
    </row>
    <row r="18" spans="1:10" ht="12.75">
      <c r="A18" s="296"/>
      <c r="B18" s="610" t="s">
        <v>831</v>
      </c>
      <c r="C18" s="243">
        <v>0</v>
      </c>
      <c r="D18" s="243">
        <v>0</v>
      </c>
      <c r="E18" s="243">
        <v>0</v>
      </c>
      <c r="F18" s="383">
        <f t="shared" si="0"/>
        <v>0</v>
      </c>
      <c r="G18" s="212"/>
      <c r="H18" s="212"/>
      <c r="I18" s="212"/>
      <c r="J18" s="212"/>
    </row>
    <row r="19" spans="1:10" ht="12.75">
      <c r="A19" s="296"/>
      <c r="B19" s="238" t="s">
        <v>788</v>
      </c>
      <c r="C19" s="243">
        <v>0</v>
      </c>
      <c r="D19" s="243">
        <v>0</v>
      </c>
      <c r="E19" s="243">
        <v>0</v>
      </c>
      <c r="F19" s="383">
        <v>0</v>
      </c>
      <c r="G19" s="212"/>
      <c r="H19" s="212"/>
      <c r="I19" s="212"/>
      <c r="J19" s="212"/>
    </row>
    <row r="20" spans="1:10" ht="12.75">
      <c r="A20" s="296"/>
      <c r="B20" s="238" t="s">
        <v>789</v>
      </c>
      <c r="C20" s="243">
        <v>0</v>
      </c>
      <c r="D20" s="243">
        <v>0</v>
      </c>
      <c r="E20" s="243">
        <v>0</v>
      </c>
      <c r="F20" s="383">
        <f t="shared" si="0"/>
        <v>0</v>
      </c>
      <c r="G20" s="212"/>
      <c r="H20" s="212"/>
      <c r="I20" s="212"/>
      <c r="J20" s="212"/>
    </row>
    <row r="21" spans="1:10" ht="12.75">
      <c r="A21" s="296"/>
      <c r="B21" s="238" t="s">
        <v>790</v>
      </c>
      <c r="C21" s="243">
        <v>0</v>
      </c>
      <c r="D21" s="243">
        <v>0</v>
      </c>
      <c r="E21" s="243">
        <v>0</v>
      </c>
      <c r="F21" s="383">
        <v>0</v>
      </c>
      <c r="G21" s="212"/>
      <c r="H21" s="212"/>
      <c r="I21" s="212"/>
      <c r="J21" s="212"/>
    </row>
    <row r="22" spans="1:10" ht="12.75">
      <c r="A22" s="296"/>
      <c r="B22" s="238" t="s">
        <v>791</v>
      </c>
      <c r="C22" s="243">
        <v>0</v>
      </c>
      <c r="D22" s="243">
        <v>0</v>
      </c>
      <c r="E22" s="243">
        <v>0</v>
      </c>
      <c r="F22" s="383">
        <f t="shared" si="0"/>
        <v>0</v>
      </c>
      <c r="G22" s="212"/>
      <c r="H22" s="212"/>
      <c r="I22" s="212"/>
      <c r="J22" s="212"/>
    </row>
    <row r="23" spans="1:10" ht="12.75">
      <c r="A23" s="296"/>
      <c r="B23" s="238" t="s">
        <v>792</v>
      </c>
      <c r="C23" s="243">
        <v>0</v>
      </c>
      <c r="D23" s="243">
        <v>0</v>
      </c>
      <c r="E23" s="243">
        <v>0</v>
      </c>
      <c r="F23" s="383">
        <v>0</v>
      </c>
      <c r="G23" s="212"/>
      <c r="H23" s="212"/>
      <c r="I23" s="212"/>
      <c r="J23" s="212"/>
    </row>
    <row r="24" spans="1:10" ht="12.75">
      <c r="A24" s="296"/>
      <c r="B24" s="238" t="s">
        <v>360</v>
      </c>
      <c r="C24" s="243">
        <v>0</v>
      </c>
      <c r="D24" s="243">
        <v>0</v>
      </c>
      <c r="E24" s="243">
        <v>0</v>
      </c>
      <c r="F24" s="383">
        <v>0</v>
      </c>
      <c r="G24" s="212"/>
      <c r="H24" s="212"/>
      <c r="I24" s="212"/>
      <c r="J24" s="212"/>
    </row>
    <row r="25" spans="1:10" ht="12.75">
      <c r="A25" s="296"/>
      <c r="B25" s="239"/>
      <c r="C25" s="237"/>
      <c r="D25" s="243"/>
      <c r="E25" s="237"/>
      <c r="F25" s="382"/>
      <c r="G25" s="212"/>
      <c r="H25" s="212"/>
      <c r="I25" s="212"/>
      <c r="J25" s="212"/>
    </row>
    <row r="26" spans="1:10" s="234" customFormat="1" ht="12.75">
      <c r="A26" s="297"/>
      <c r="B26" s="232" t="s">
        <v>793</v>
      </c>
      <c r="C26" s="232">
        <f>SUM(C7:C14)-SUM(C16:C16)</f>
        <v>0</v>
      </c>
      <c r="D26" s="232">
        <f>SUM(D7:D14)-SUM(D17:D25)</f>
        <v>0</v>
      </c>
      <c r="E26" s="232">
        <f>SUM(E7:E14)-SUM(E16:E16)</f>
        <v>0</v>
      </c>
      <c r="F26" s="384">
        <f>SUM(F6)-SUM(F16:F16)</f>
        <v>0</v>
      </c>
      <c r="G26" s="212"/>
      <c r="H26" s="233"/>
      <c r="I26" s="233"/>
      <c r="J26" s="233"/>
    </row>
    <row r="27" spans="1:10" ht="6.75" customHeight="1">
      <c r="A27" s="298"/>
      <c r="B27" s="242"/>
      <c r="C27" s="242"/>
      <c r="D27" s="242"/>
      <c r="E27" s="242"/>
      <c r="F27" s="385"/>
      <c r="G27" s="212"/>
      <c r="H27" s="212"/>
      <c r="I27" s="212"/>
      <c r="J27" s="212"/>
    </row>
    <row r="28" spans="1:10" s="234" customFormat="1" ht="12.75">
      <c r="A28" s="297"/>
      <c r="B28" s="232" t="s">
        <v>33</v>
      </c>
      <c r="C28" s="232">
        <f>+C35-C29</f>
        <v>0</v>
      </c>
      <c r="D28" s="232">
        <f>+D35-D29</f>
        <v>0</v>
      </c>
      <c r="E28" s="232">
        <f>+E35-E29</f>
        <v>0</v>
      </c>
      <c r="F28" s="384">
        <f>+F35-F29</f>
        <v>0</v>
      </c>
      <c r="G28" s="233"/>
      <c r="H28" s="233"/>
      <c r="I28" s="233"/>
      <c r="J28" s="233"/>
    </row>
    <row r="29" spans="1:10" ht="12.75">
      <c r="A29" s="295"/>
      <c r="B29" s="227" t="s">
        <v>2</v>
      </c>
      <c r="C29" s="227">
        <f>SUM(C30:C33)</f>
        <v>0</v>
      </c>
      <c r="D29" s="227">
        <f>SUM(D30:D32)</f>
        <v>0</v>
      </c>
      <c r="E29" s="227">
        <f>SUM(E30:E33)</f>
        <v>0</v>
      </c>
      <c r="F29" s="381">
        <f>SUM(F30:F33)</f>
        <v>0</v>
      </c>
      <c r="G29" s="212"/>
      <c r="H29" s="212"/>
      <c r="I29" s="212"/>
      <c r="J29" s="212"/>
    </row>
    <row r="30" spans="1:10" ht="12.75">
      <c r="A30" s="296"/>
      <c r="B30" s="238" t="s">
        <v>26</v>
      </c>
      <c r="C30" s="243">
        <v>0</v>
      </c>
      <c r="D30" s="243">
        <v>0</v>
      </c>
      <c r="E30" s="243">
        <v>0</v>
      </c>
      <c r="F30" s="382">
        <v>0</v>
      </c>
      <c r="G30" s="212"/>
      <c r="H30" s="212"/>
      <c r="I30" s="212"/>
      <c r="J30" s="212"/>
    </row>
    <row r="31" spans="1:10" ht="12.75">
      <c r="A31" s="296"/>
      <c r="B31" s="238" t="s">
        <v>799</v>
      </c>
      <c r="C31" s="243">
        <v>0</v>
      </c>
      <c r="D31" s="243">
        <v>0</v>
      </c>
      <c r="E31" s="243">
        <v>0</v>
      </c>
      <c r="F31" s="243">
        <v>0</v>
      </c>
      <c r="G31" s="212"/>
      <c r="H31" s="212"/>
      <c r="I31" s="212"/>
      <c r="J31" s="212"/>
    </row>
    <row r="32" spans="1:10" ht="12.75">
      <c r="A32" s="296"/>
      <c r="B32" s="238" t="s">
        <v>71</v>
      </c>
      <c r="C32" s="243">
        <v>0</v>
      </c>
      <c r="D32" s="243">
        <v>0</v>
      </c>
      <c r="E32" s="243">
        <v>0</v>
      </c>
      <c r="F32" s="382">
        <v>0</v>
      </c>
      <c r="G32" s="212"/>
      <c r="H32" s="212"/>
      <c r="I32" s="212"/>
      <c r="J32" s="212"/>
    </row>
    <row r="33" spans="1:10" ht="12.75">
      <c r="A33" s="296"/>
      <c r="B33" s="238" t="s">
        <v>858</v>
      </c>
      <c r="C33" s="243">
        <v>0</v>
      </c>
      <c r="D33" s="243">
        <v>0</v>
      </c>
      <c r="E33" s="243">
        <v>0</v>
      </c>
      <c r="F33" s="382">
        <v>0</v>
      </c>
      <c r="G33" s="212"/>
      <c r="H33" s="212"/>
      <c r="I33" s="212"/>
      <c r="J33" s="212"/>
    </row>
    <row r="34" spans="1:10" ht="12.75">
      <c r="A34" s="296"/>
      <c r="B34" s="238"/>
      <c r="C34" s="243"/>
      <c r="D34" s="243"/>
      <c r="E34" s="243"/>
      <c r="F34" s="382"/>
      <c r="G34" s="212"/>
      <c r="H34" s="212"/>
      <c r="I34" s="212"/>
      <c r="J34" s="212"/>
    </row>
    <row r="35" spans="1:10" ht="12.75">
      <c r="A35" s="295"/>
      <c r="B35" s="227" t="s">
        <v>0</v>
      </c>
      <c r="C35" s="227">
        <f>SUM(C36:C39)</f>
        <v>0</v>
      </c>
      <c r="D35" s="227">
        <f>SUM(D36:D38)</f>
        <v>0</v>
      </c>
      <c r="E35" s="227">
        <f>SUM(E36:E39)</f>
        <v>0</v>
      </c>
      <c r="F35" s="381">
        <f>SUM(F36:F39)</f>
        <v>0</v>
      </c>
      <c r="G35" s="212"/>
      <c r="H35" s="212"/>
      <c r="I35" s="212"/>
      <c r="J35" s="212"/>
    </row>
    <row r="36" spans="1:10" ht="12.75">
      <c r="A36" s="296"/>
      <c r="B36" s="238" t="s">
        <v>26</v>
      </c>
      <c r="C36" s="243">
        <v>0</v>
      </c>
      <c r="D36" s="243">
        <v>0</v>
      </c>
      <c r="E36" s="243">
        <v>0</v>
      </c>
      <c r="F36" s="382">
        <f>E36</f>
        <v>0</v>
      </c>
      <c r="G36" s="212"/>
      <c r="H36" s="212"/>
      <c r="I36" s="212"/>
      <c r="J36" s="212"/>
    </row>
    <row r="37" spans="1:10" ht="12.75">
      <c r="A37" s="296"/>
      <c r="B37" s="238" t="s">
        <v>799</v>
      </c>
      <c r="C37" s="243">
        <v>0</v>
      </c>
      <c r="D37" s="243">
        <v>0</v>
      </c>
      <c r="E37" s="243">
        <v>0</v>
      </c>
      <c r="F37" s="382">
        <f>E37</f>
        <v>0</v>
      </c>
      <c r="G37" s="212"/>
      <c r="H37" s="212"/>
      <c r="I37" s="212"/>
      <c r="J37" s="212"/>
    </row>
    <row r="38" spans="1:10" ht="12.75">
      <c r="A38" s="296"/>
      <c r="B38" s="238" t="s">
        <v>71</v>
      </c>
      <c r="C38" s="243">
        <v>0</v>
      </c>
      <c r="D38" s="243">
        <v>0</v>
      </c>
      <c r="E38" s="243">
        <v>0</v>
      </c>
      <c r="F38" s="382">
        <f>E38</f>
        <v>0</v>
      </c>
      <c r="G38" s="212"/>
      <c r="H38" s="212"/>
      <c r="I38" s="212"/>
      <c r="J38" s="212"/>
    </row>
    <row r="39" spans="1:10" ht="12.75">
      <c r="A39" s="296"/>
      <c r="B39" s="238" t="s">
        <v>858</v>
      </c>
      <c r="C39" s="243">
        <v>0</v>
      </c>
      <c r="D39" s="243">
        <v>0</v>
      </c>
      <c r="E39" s="243">
        <v>0</v>
      </c>
      <c r="F39" s="382">
        <f>E39</f>
        <v>0</v>
      </c>
      <c r="G39" s="212"/>
      <c r="H39" s="212"/>
      <c r="I39" s="212"/>
      <c r="J39" s="212"/>
    </row>
    <row r="40" spans="1:10" ht="12.75">
      <c r="A40" s="296"/>
      <c r="B40" s="238"/>
      <c r="C40" s="243"/>
      <c r="D40" s="243"/>
      <c r="E40" s="243"/>
      <c r="F40" s="382"/>
      <c r="G40" s="212"/>
      <c r="H40" s="212"/>
      <c r="I40" s="212"/>
      <c r="J40" s="212"/>
    </row>
    <row r="41" spans="1:10" ht="12.75">
      <c r="A41" s="300"/>
      <c r="B41" s="227" t="s">
        <v>35</v>
      </c>
      <c r="C41" s="227">
        <f>SUM(C42:C44)</f>
        <v>0</v>
      </c>
      <c r="D41" s="227">
        <f>SUM(D42:D44)</f>
        <v>0</v>
      </c>
      <c r="E41" s="227">
        <f>SUM(E42:E44)</f>
        <v>0</v>
      </c>
      <c r="F41" s="381">
        <f>SUM(F42:F44)</f>
        <v>0</v>
      </c>
      <c r="G41" s="212"/>
      <c r="H41" s="212"/>
      <c r="I41" s="212"/>
      <c r="J41" s="212"/>
    </row>
    <row r="42" spans="1:10" ht="12.75">
      <c r="A42" s="301"/>
      <c r="B42" s="238" t="s">
        <v>36</v>
      </c>
      <c r="C42" s="243">
        <v>0</v>
      </c>
      <c r="D42" s="243">
        <v>0</v>
      </c>
      <c r="E42" s="243">
        <v>0</v>
      </c>
      <c r="F42" s="383">
        <v>0</v>
      </c>
      <c r="G42" s="212"/>
      <c r="H42" s="212"/>
      <c r="I42" s="212"/>
      <c r="J42" s="212"/>
    </row>
    <row r="43" spans="1:10" ht="12.75">
      <c r="A43" s="301"/>
      <c r="B43" s="238" t="s">
        <v>37</v>
      </c>
      <c r="C43" s="243">
        <v>0</v>
      </c>
      <c r="D43" s="243">
        <v>0</v>
      </c>
      <c r="E43" s="243">
        <v>0</v>
      </c>
      <c r="F43" s="383">
        <v>0</v>
      </c>
      <c r="G43" s="212"/>
      <c r="H43" s="212"/>
      <c r="I43" s="212"/>
      <c r="J43" s="212"/>
    </row>
    <row r="44" spans="1:10" ht="12.75">
      <c r="A44" s="301"/>
      <c r="B44" s="238" t="s">
        <v>166</v>
      </c>
      <c r="C44" s="243">
        <v>0</v>
      </c>
      <c r="D44" s="243">
        <v>0</v>
      </c>
      <c r="E44" s="243">
        <v>0</v>
      </c>
      <c r="F44" s="383">
        <v>0</v>
      </c>
      <c r="G44" s="212"/>
      <c r="H44" s="212"/>
      <c r="I44" s="212"/>
      <c r="J44" s="212"/>
    </row>
    <row r="45" spans="1:10" ht="12.75">
      <c r="A45" s="301"/>
      <c r="B45" s="238"/>
      <c r="C45" s="243"/>
      <c r="D45" s="243"/>
      <c r="E45" s="243"/>
      <c r="F45" s="382"/>
      <c r="G45" s="212"/>
      <c r="H45" s="212"/>
      <c r="I45" s="212"/>
      <c r="J45" s="212"/>
    </row>
    <row r="46" spans="1:10" ht="12.75">
      <c r="A46" s="295"/>
      <c r="B46" s="227" t="s">
        <v>690</v>
      </c>
      <c r="C46" s="227">
        <v>0</v>
      </c>
      <c r="D46" s="227">
        <v>0</v>
      </c>
      <c r="E46" s="227">
        <v>0</v>
      </c>
      <c r="F46" s="381">
        <v>0</v>
      </c>
      <c r="G46" s="212"/>
      <c r="H46" s="212"/>
      <c r="I46" s="212"/>
      <c r="J46" s="212"/>
    </row>
    <row r="47" spans="1:10" ht="12.75">
      <c r="A47" s="299"/>
      <c r="B47" s="243"/>
      <c r="C47" s="243"/>
      <c r="D47" s="243"/>
      <c r="E47" s="243"/>
      <c r="F47" s="382"/>
      <c r="G47" s="212"/>
      <c r="H47" s="212"/>
      <c r="I47" s="212"/>
      <c r="J47" s="212"/>
    </row>
    <row r="48" spans="1:10" s="234" customFormat="1" ht="12.75">
      <c r="A48" s="297"/>
      <c r="B48" s="232" t="s">
        <v>4</v>
      </c>
      <c r="C48" s="232">
        <f>+C26-C41-C46+C28</f>
        <v>0</v>
      </c>
      <c r="D48" s="232">
        <f>+D26-D41-D46+D28</f>
        <v>0</v>
      </c>
      <c r="E48" s="232">
        <f>+E26-E41-E46+E28</f>
        <v>0</v>
      </c>
      <c r="F48" s="384">
        <f>+F26-F41-F46+F28</f>
        <v>0</v>
      </c>
      <c r="G48" s="233"/>
      <c r="H48" s="233"/>
      <c r="I48" s="233"/>
      <c r="J48" s="233"/>
    </row>
    <row r="49" spans="1:10" ht="12.75">
      <c r="A49" s="299"/>
      <c r="B49" s="243"/>
      <c r="C49" s="243"/>
      <c r="D49" s="243"/>
      <c r="E49" s="243"/>
      <c r="F49" s="382"/>
      <c r="G49" s="212"/>
      <c r="H49" s="212"/>
      <c r="I49" s="212"/>
      <c r="J49" s="212"/>
    </row>
    <row r="50" spans="1:10" ht="12.75">
      <c r="A50" s="295" t="s">
        <v>1</v>
      </c>
      <c r="B50" s="227" t="s">
        <v>43</v>
      </c>
      <c r="C50" s="227">
        <f>C52+C60+C62+C66+C70+C76+C82+C100+C58+C68</f>
        <v>0</v>
      </c>
      <c r="D50" s="227">
        <f>D52+D60+D62+D66+D70+D76+D82+D100+D58+D68</f>
        <v>0</v>
      </c>
      <c r="E50" s="227">
        <f>E52+E60+E62+E66+E70+E76+E82+E100+E58+E68</f>
        <v>0</v>
      </c>
      <c r="F50" s="381">
        <f>F52+F60+F62+F66+F70+F76+F82+F100+F58+F68</f>
        <v>0</v>
      </c>
      <c r="G50" s="212"/>
      <c r="H50" s="212"/>
      <c r="I50" s="212"/>
      <c r="J50" s="212"/>
    </row>
    <row r="51" spans="1:10" ht="12.75">
      <c r="A51" s="299"/>
      <c r="B51" s="243"/>
      <c r="C51" s="243"/>
      <c r="D51" s="243"/>
      <c r="E51" s="243"/>
      <c r="F51" s="382"/>
      <c r="G51" s="212"/>
      <c r="H51" s="212"/>
      <c r="I51" s="212"/>
      <c r="J51" s="212"/>
    </row>
    <row r="52" spans="1:10" ht="12.75">
      <c r="A52" s="295"/>
      <c r="B52" s="227" t="s">
        <v>307</v>
      </c>
      <c r="C52" s="227">
        <f>SUM(C53:C56)</f>
        <v>0</v>
      </c>
      <c r="D52" s="227">
        <f>SUM(D53:D56)</f>
        <v>0</v>
      </c>
      <c r="E52" s="227">
        <f>SUM(E53:E56)</f>
        <v>0</v>
      </c>
      <c r="F52" s="381">
        <f>SUM(F53:F56)</f>
        <v>0</v>
      </c>
      <c r="G52" s="212"/>
      <c r="H52" s="212"/>
      <c r="I52" s="212"/>
      <c r="J52" s="212"/>
    </row>
    <row r="53" spans="1:10" ht="12.75">
      <c r="A53" s="296"/>
      <c r="B53" s="238" t="s">
        <v>66</v>
      </c>
      <c r="C53" s="243">
        <v>0</v>
      </c>
      <c r="D53" s="243">
        <v>0</v>
      </c>
      <c r="E53" s="243">
        <v>0</v>
      </c>
      <c r="F53" s="243">
        <v>0</v>
      </c>
      <c r="G53" s="212"/>
      <c r="H53" s="212"/>
      <c r="I53" s="212"/>
      <c r="J53" s="212"/>
    </row>
    <row r="54" spans="1:10" ht="12.75">
      <c r="A54" s="296"/>
      <c r="B54" s="238" t="s">
        <v>797</v>
      </c>
      <c r="C54" s="243">
        <v>0</v>
      </c>
      <c r="D54" s="243">
        <v>0</v>
      </c>
      <c r="E54" s="243">
        <v>0</v>
      </c>
      <c r="F54" s="243">
        <v>0</v>
      </c>
      <c r="G54" s="212"/>
      <c r="H54" s="212"/>
      <c r="I54" s="212"/>
      <c r="J54" s="212"/>
    </row>
    <row r="55" spans="1:10" ht="12.75">
      <c r="A55" s="296"/>
      <c r="B55" s="238" t="s">
        <v>798</v>
      </c>
      <c r="C55" s="243">
        <v>0</v>
      </c>
      <c r="D55" s="243">
        <v>0</v>
      </c>
      <c r="E55" s="243">
        <v>0</v>
      </c>
      <c r="F55" s="243">
        <v>0</v>
      </c>
      <c r="G55" s="212"/>
      <c r="H55" s="212"/>
      <c r="I55" s="212"/>
      <c r="J55" s="212"/>
    </row>
    <row r="56" spans="1:10" ht="12.75">
      <c r="A56" s="296"/>
      <c r="B56" s="238" t="s">
        <v>757</v>
      </c>
      <c r="C56" s="243">
        <v>0</v>
      </c>
      <c r="D56" s="243">
        <v>0</v>
      </c>
      <c r="E56" s="243">
        <v>0</v>
      </c>
      <c r="F56" s="243">
        <v>0</v>
      </c>
      <c r="G56" s="212"/>
      <c r="H56" s="212"/>
      <c r="I56" s="212"/>
      <c r="J56" s="212"/>
    </row>
    <row r="57" spans="1:10" ht="12.75">
      <c r="A57" s="296"/>
      <c r="B57" s="238"/>
      <c r="C57" s="243"/>
      <c r="D57" s="243"/>
      <c r="E57" s="243"/>
      <c r="F57" s="382"/>
      <c r="G57" s="212"/>
      <c r="H57" s="212"/>
      <c r="I57" s="212"/>
      <c r="J57" s="212"/>
    </row>
    <row r="58" spans="1:10" ht="12.75">
      <c r="A58" s="295"/>
      <c r="B58" s="227" t="s">
        <v>304</v>
      </c>
      <c r="C58" s="227">
        <v>0</v>
      </c>
      <c r="D58" s="227">
        <v>0</v>
      </c>
      <c r="E58" s="227">
        <v>0</v>
      </c>
      <c r="F58" s="381">
        <f>C58+E58</f>
        <v>0</v>
      </c>
      <c r="G58" s="212"/>
      <c r="H58" s="212"/>
      <c r="I58" s="212"/>
      <c r="J58" s="212"/>
    </row>
    <row r="59" spans="1:10" ht="12.75">
      <c r="A59" s="296"/>
      <c r="B59" s="238"/>
      <c r="C59" s="243"/>
      <c r="D59" s="243"/>
      <c r="E59" s="243"/>
      <c r="F59" s="382"/>
      <c r="G59" s="212"/>
      <c r="H59" s="212"/>
      <c r="I59" s="212"/>
      <c r="J59" s="212"/>
    </row>
    <row r="60" spans="1:10" ht="12.75">
      <c r="A60" s="295"/>
      <c r="B60" s="227" t="s">
        <v>302</v>
      </c>
      <c r="C60" s="227">
        <v>0</v>
      </c>
      <c r="D60" s="227">
        <v>0</v>
      </c>
      <c r="E60" s="227">
        <v>0</v>
      </c>
      <c r="F60" s="381">
        <v>0</v>
      </c>
      <c r="G60" s="212"/>
      <c r="H60" s="212"/>
      <c r="I60" s="212"/>
      <c r="J60" s="212"/>
    </row>
    <row r="61" spans="1:10" ht="12.75">
      <c r="A61" s="296"/>
      <c r="B61" s="238"/>
      <c r="C61" s="243"/>
      <c r="D61" s="243"/>
      <c r="E61" s="243"/>
      <c r="F61" s="382"/>
      <c r="G61" s="212"/>
      <c r="H61" s="212"/>
      <c r="I61" s="212"/>
      <c r="J61" s="212"/>
    </row>
    <row r="62" spans="1:10" ht="12.75">
      <c r="A62" s="295"/>
      <c r="B62" s="227" t="s">
        <v>6</v>
      </c>
      <c r="C62" s="227">
        <f>SUM(C63:C64)</f>
        <v>0</v>
      </c>
      <c r="D62" s="227">
        <f>+D63+D64</f>
        <v>0</v>
      </c>
      <c r="E62" s="227">
        <f>SUM(E63:E64)</f>
        <v>0</v>
      </c>
      <c r="F62" s="381">
        <f>SUM(F63:F64)</f>
        <v>0</v>
      </c>
      <c r="G62" s="212"/>
      <c r="H62" s="212"/>
      <c r="I62" s="212"/>
      <c r="J62" s="212"/>
    </row>
    <row r="63" spans="1:10" ht="12.75">
      <c r="A63" s="296"/>
      <c r="B63" s="240" t="s">
        <v>718</v>
      </c>
      <c r="C63" s="243">
        <v>0</v>
      </c>
      <c r="D63" s="243">
        <v>0</v>
      </c>
      <c r="E63" s="243">
        <v>0</v>
      </c>
      <c r="F63" s="382">
        <v>0</v>
      </c>
      <c r="G63" s="212"/>
      <c r="H63" s="212"/>
      <c r="I63" s="212"/>
      <c r="J63" s="212"/>
    </row>
    <row r="64" spans="1:10" ht="12.75">
      <c r="A64" s="296"/>
      <c r="B64" s="241" t="s">
        <v>359</v>
      </c>
      <c r="C64" s="243">
        <v>0</v>
      </c>
      <c r="D64" s="243">
        <v>0</v>
      </c>
      <c r="E64" s="243">
        <v>0</v>
      </c>
      <c r="F64" s="382">
        <f>+C64+E64</f>
        <v>0</v>
      </c>
      <c r="G64" s="212"/>
      <c r="H64" s="212"/>
      <c r="I64" s="212"/>
      <c r="J64" s="212"/>
    </row>
    <row r="65" spans="1:10" ht="12.75">
      <c r="A65" s="296"/>
      <c r="B65" s="238"/>
      <c r="C65" s="243"/>
      <c r="D65" s="243"/>
      <c r="E65" s="243"/>
      <c r="F65" s="382"/>
      <c r="G65" s="212"/>
      <c r="H65" s="212"/>
      <c r="I65" s="212"/>
      <c r="J65" s="212"/>
    </row>
    <row r="66" spans="1:10" ht="12.75">
      <c r="A66" s="300"/>
      <c r="B66" s="227" t="s">
        <v>5</v>
      </c>
      <c r="C66" s="227">
        <v>0</v>
      </c>
      <c r="D66" s="227">
        <v>0</v>
      </c>
      <c r="E66" s="227">
        <v>0</v>
      </c>
      <c r="F66" s="381">
        <v>0</v>
      </c>
      <c r="G66" s="212"/>
      <c r="H66" s="212"/>
      <c r="I66" s="212"/>
      <c r="J66" s="212"/>
    </row>
    <row r="67" spans="1:10" ht="12.75">
      <c r="A67" s="302"/>
      <c r="B67" s="243"/>
      <c r="C67" s="243"/>
      <c r="D67" s="243"/>
      <c r="E67" s="243"/>
      <c r="F67" s="382"/>
      <c r="G67" s="212"/>
      <c r="H67" s="212"/>
      <c r="I67" s="212"/>
      <c r="J67" s="212"/>
    </row>
    <row r="68" spans="1:10" ht="12.75">
      <c r="A68" s="295"/>
      <c r="B68" s="227" t="s">
        <v>308</v>
      </c>
      <c r="C68" s="227">
        <v>0</v>
      </c>
      <c r="D68" s="227">
        <v>0</v>
      </c>
      <c r="E68" s="227">
        <v>0</v>
      </c>
      <c r="F68" s="381">
        <v>0</v>
      </c>
      <c r="G68" s="306"/>
      <c r="H68" s="212"/>
      <c r="I68" s="212"/>
      <c r="J68" s="212"/>
    </row>
    <row r="69" spans="1:10" ht="12.75">
      <c r="A69" s="299"/>
      <c r="B69" s="243"/>
      <c r="C69" s="243"/>
      <c r="D69" s="243"/>
      <c r="E69" s="243"/>
      <c r="F69" s="382"/>
      <c r="G69" s="212"/>
      <c r="H69" s="212"/>
      <c r="I69" s="212"/>
      <c r="J69" s="212"/>
    </row>
    <row r="70" spans="1:10" ht="12.75">
      <c r="A70" s="300"/>
      <c r="B70" s="227" t="s">
        <v>10</v>
      </c>
      <c r="C70" s="227">
        <f>SUM(C71:C74)</f>
        <v>0</v>
      </c>
      <c r="D70" s="227">
        <f>SUM(D71:D74)</f>
        <v>0</v>
      </c>
      <c r="E70" s="227">
        <f>SUM(E71:E74)</f>
        <v>0</v>
      </c>
      <c r="F70" s="381">
        <f>SUM(F71:F74)</f>
        <v>0</v>
      </c>
      <c r="G70" s="212"/>
      <c r="H70" s="212"/>
      <c r="I70" s="212"/>
      <c r="J70" s="212"/>
    </row>
    <row r="71" spans="1:10" ht="12.75">
      <c r="A71" s="301"/>
      <c r="B71" s="238" t="s">
        <v>46</v>
      </c>
      <c r="C71" s="243">
        <v>0</v>
      </c>
      <c r="D71" s="243">
        <v>0</v>
      </c>
      <c r="E71" s="243">
        <v>0</v>
      </c>
      <c r="F71" s="382">
        <v>0</v>
      </c>
      <c r="G71" s="212"/>
      <c r="H71" s="212"/>
      <c r="I71" s="212"/>
      <c r="J71" s="212"/>
    </row>
    <row r="72" spans="1:10" ht="12.75">
      <c r="A72" s="301"/>
      <c r="B72" s="238" t="s">
        <v>47</v>
      </c>
      <c r="C72" s="243">
        <v>0</v>
      </c>
      <c r="D72" s="243">
        <v>0</v>
      </c>
      <c r="E72" s="243">
        <v>0</v>
      </c>
      <c r="F72" s="382">
        <v>0</v>
      </c>
      <c r="G72" s="212"/>
      <c r="H72" s="212"/>
      <c r="I72" s="212"/>
      <c r="J72" s="212"/>
    </row>
    <row r="73" spans="1:10" ht="12.75">
      <c r="A73" s="301"/>
      <c r="B73" s="238" t="s">
        <v>795</v>
      </c>
      <c r="C73" s="243">
        <v>0</v>
      </c>
      <c r="D73" s="243">
        <v>0</v>
      </c>
      <c r="E73" s="243">
        <v>0</v>
      </c>
      <c r="F73" s="382">
        <v>0</v>
      </c>
      <c r="G73" s="212"/>
      <c r="H73" s="212"/>
      <c r="I73" s="212"/>
      <c r="J73" s="212"/>
    </row>
    <row r="74" spans="1:10" ht="12.75">
      <c r="A74" s="301"/>
      <c r="B74" s="238" t="s">
        <v>38</v>
      </c>
      <c r="C74" s="243">
        <v>0</v>
      </c>
      <c r="D74" s="243">
        <v>0</v>
      </c>
      <c r="E74" s="243">
        <v>0</v>
      </c>
      <c r="F74" s="382">
        <v>0</v>
      </c>
      <c r="G74" s="212"/>
      <c r="H74" s="212"/>
      <c r="I74" s="212"/>
      <c r="J74" s="212"/>
    </row>
    <row r="75" spans="1:10" ht="12.75">
      <c r="A75" s="301"/>
      <c r="B75" s="238"/>
      <c r="C75" s="243"/>
      <c r="D75" s="243"/>
      <c r="E75" s="243"/>
      <c r="F75" s="382"/>
      <c r="G75" s="212"/>
      <c r="H75" s="212"/>
      <c r="I75" s="212"/>
      <c r="J75" s="212"/>
    </row>
    <row r="76" spans="1:10" ht="12.75">
      <c r="A76" s="300"/>
      <c r="B76" s="228" t="s">
        <v>423</v>
      </c>
      <c r="C76" s="227">
        <f>SUM(C77:C80)</f>
        <v>0</v>
      </c>
      <c r="D76" s="227">
        <f>SUM(D77:D80)</f>
        <v>0</v>
      </c>
      <c r="E76" s="227">
        <f>SUM(E77:E80)</f>
        <v>0</v>
      </c>
      <c r="F76" s="381">
        <f>SUM(F77:F80)</f>
        <v>0</v>
      </c>
      <c r="G76" s="212"/>
      <c r="H76" s="212"/>
      <c r="I76" s="212"/>
      <c r="J76" s="212"/>
    </row>
    <row r="77" spans="1:10" ht="12.75">
      <c r="A77" s="301"/>
      <c r="B77" s="241" t="s">
        <v>48</v>
      </c>
      <c r="C77" s="243">
        <v>0</v>
      </c>
      <c r="D77" s="243">
        <v>0</v>
      </c>
      <c r="E77" s="243">
        <v>0</v>
      </c>
      <c r="F77" s="382">
        <v>0</v>
      </c>
      <c r="G77" s="212"/>
      <c r="H77" s="212"/>
      <c r="I77" s="212"/>
      <c r="J77" s="212"/>
    </row>
    <row r="78" spans="1:10" ht="12.75">
      <c r="A78" s="301"/>
      <c r="B78" s="241" t="s">
        <v>453</v>
      </c>
      <c r="C78" s="243">
        <v>0</v>
      </c>
      <c r="D78" s="243">
        <v>0</v>
      </c>
      <c r="E78" s="243">
        <v>0</v>
      </c>
      <c r="F78" s="382">
        <v>0</v>
      </c>
      <c r="G78" s="212"/>
      <c r="H78" s="212"/>
      <c r="I78" s="212"/>
      <c r="J78" s="212"/>
    </row>
    <row r="79" spans="1:10" ht="12.75">
      <c r="A79" s="301"/>
      <c r="B79" s="241" t="s">
        <v>804</v>
      </c>
      <c r="C79" s="243">
        <f>C55</f>
        <v>0</v>
      </c>
      <c r="D79" s="243">
        <v>0</v>
      </c>
      <c r="E79" s="243">
        <f>E55</f>
        <v>0</v>
      </c>
      <c r="F79" s="382">
        <v>0</v>
      </c>
      <c r="G79" s="212"/>
      <c r="H79" s="212"/>
      <c r="I79" s="212"/>
      <c r="J79" s="212"/>
    </row>
    <row r="80" spans="1:10" ht="12.75">
      <c r="A80" s="301"/>
      <c r="B80" s="241" t="s">
        <v>725</v>
      </c>
      <c r="C80" s="243">
        <f>C54</f>
        <v>0</v>
      </c>
      <c r="D80" s="243">
        <v>0</v>
      </c>
      <c r="E80" s="243">
        <f>E54</f>
        <v>0</v>
      </c>
      <c r="F80" s="382">
        <v>0</v>
      </c>
      <c r="G80" s="212"/>
      <c r="H80" s="212"/>
      <c r="I80" s="212"/>
      <c r="J80" s="212"/>
    </row>
    <row r="81" spans="1:10" ht="12.75">
      <c r="A81" s="301"/>
      <c r="B81" s="241"/>
      <c r="C81" s="243"/>
      <c r="D81" s="243"/>
      <c r="E81" s="243"/>
      <c r="F81" s="382"/>
      <c r="G81" s="212"/>
      <c r="H81" s="212"/>
      <c r="I81" s="212"/>
      <c r="J81" s="212"/>
    </row>
    <row r="82" spans="1:10" ht="12.75">
      <c r="A82" s="300"/>
      <c r="B82" s="227" t="s">
        <v>9</v>
      </c>
      <c r="C82" s="227">
        <f>SUM(C83:C98)</f>
        <v>0</v>
      </c>
      <c r="D82" s="227">
        <f>SUM(D83:D98)</f>
        <v>0</v>
      </c>
      <c r="E82" s="227">
        <f>SUM(E83:E98)</f>
        <v>0</v>
      </c>
      <c r="F82" s="381">
        <f>SUM(F83:F98)</f>
        <v>0</v>
      </c>
      <c r="G82" s="212"/>
      <c r="H82" s="212"/>
      <c r="I82" s="212"/>
      <c r="J82" s="212"/>
    </row>
    <row r="83" spans="1:10" ht="12.75">
      <c r="A83" s="301"/>
      <c r="B83" s="238" t="s">
        <v>55</v>
      </c>
      <c r="C83" s="243">
        <v>0</v>
      </c>
      <c r="D83" s="243">
        <v>0</v>
      </c>
      <c r="E83" s="243">
        <v>0</v>
      </c>
      <c r="F83" s="382">
        <f>+C83+E83</f>
        <v>0</v>
      </c>
      <c r="G83" s="212"/>
      <c r="H83" s="212"/>
      <c r="I83" s="212"/>
      <c r="J83" s="212"/>
    </row>
    <row r="84" spans="1:10" ht="12.75">
      <c r="A84" s="301"/>
      <c r="B84" s="238" t="s">
        <v>56</v>
      </c>
      <c r="C84" s="243">
        <v>0</v>
      </c>
      <c r="D84" s="243">
        <v>0</v>
      </c>
      <c r="E84" s="243">
        <v>0</v>
      </c>
      <c r="F84" s="382">
        <v>0</v>
      </c>
      <c r="G84" s="212"/>
      <c r="H84" s="212"/>
      <c r="I84" s="212"/>
      <c r="J84" s="212"/>
    </row>
    <row r="85" spans="1:10" ht="12.75">
      <c r="A85" s="301"/>
      <c r="B85" s="238" t="s">
        <v>796</v>
      </c>
      <c r="C85" s="243">
        <v>0</v>
      </c>
      <c r="D85" s="243">
        <v>0</v>
      </c>
      <c r="E85" s="243">
        <v>0</v>
      </c>
      <c r="F85" s="382">
        <v>0</v>
      </c>
      <c r="G85" s="212"/>
      <c r="H85" s="212"/>
      <c r="I85" s="212"/>
      <c r="J85" s="212"/>
    </row>
    <row r="86" spans="1:10" ht="12.75">
      <c r="A86" s="301"/>
      <c r="B86" s="238" t="s">
        <v>165</v>
      </c>
      <c r="C86" s="243">
        <v>0</v>
      </c>
      <c r="D86" s="243">
        <v>0</v>
      </c>
      <c r="E86" s="243">
        <v>0</v>
      </c>
      <c r="F86" s="382">
        <v>0</v>
      </c>
      <c r="G86" s="212"/>
      <c r="H86" s="212"/>
      <c r="I86" s="212"/>
      <c r="J86" s="212"/>
    </row>
    <row r="87" spans="1:10" ht="12.75">
      <c r="A87" s="301"/>
      <c r="B87" s="238" t="s">
        <v>800</v>
      </c>
      <c r="C87" s="243">
        <v>0</v>
      </c>
      <c r="D87" s="243">
        <v>0</v>
      </c>
      <c r="E87" s="243">
        <v>0</v>
      </c>
      <c r="F87" s="382">
        <v>0</v>
      </c>
      <c r="G87" s="212"/>
      <c r="H87" s="212"/>
      <c r="I87" s="212"/>
      <c r="J87" s="212"/>
    </row>
    <row r="88" spans="1:10" ht="12.75">
      <c r="A88" s="301"/>
      <c r="B88" s="238" t="s">
        <v>54</v>
      </c>
      <c r="C88" s="243">
        <v>0</v>
      </c>
      <c r="D88" s="243">
        <v>0</v>
      </c>
      <c r="E88" s="243">
        <v>0</v>
      </c>
      <c r="F88" s="382">
        <v>0</v>
      </c>
      <c r="G88" s="212"/>
      <c r="H88" s="212"/>
      <c r="I88" s="212"/>
      <c r="J88" s="212"/>
    </row>
    <row r="89" spans="1:10" ht="12.75">
      <c r="A89" s="301"/>
      <c r="B89" s="238" t="s">
        <v>12</v>
      </c>
      <c r="C89" s="243">
        <v>0</v>
      </c>
      <c r="D89" s="243">
        <v>0</v>
      </c>
      <c r="E89" s="243">
        <v>0</v>
      </c>
      <c r="F89" s="382">
        <v>0</v>
      </c>
      <c r="G89" s="212"/>
      <c r="H89" s="212"/>
      <c r="I89" s="212"/>
      <c r="J89" s="212"/>
    </row>
    <row r="90" spans="1:10" ht="12.75">
      <c r="A90" s="301"/>
      <c r="B90" s="238" t="s">
        <v>326</v>
      </c>
      <c r="C90" s="243">
        <v>0</v>
      </c>
      <c r="D90" s="243">
        <v>0</v>
      </c>
      <c r="E90" s="243">
        <v>0</v>
      </c>
      <c r="F90" s="382">
        <v>0</v>
      </c>
      <c r="G90" s="212"/>
      <c r="H90" s="212"/>
      <c r="I90" s="212"/>
      <c r="J90" s="212"/>
    </row>
    <row r="91" spans="1:10" ht="12.75">
      <c r="A91" s="301"/>
      <c r="B91" s="238" t="s">
        <v>49</v>
      </c>
      <c r="C91" s="243">
        <v>0</v>
      </c>
      <c r="D91" s="243">
        <v>0</v>
      </c>
      <c r="E91" s="243">
        <v>0</v>
      </c>
      <c r="F91" s="382">
        <v>0</v>
      </c>
      <c r="G91" s="212"/>
      <c r="H91" s="212"/>
      <c r="I91" s="212"/>
      <c r="J91" s="212"/>
    </row>
    <row r="92" spans="1:10" ht="12.75">
      <c r="A92" s="301"/>
      <c r="B92" s="238" t="s">
        <v>671</v>
      </c>
      <c r="C92" s="243">
        <v>0</v>
      </c>
      <c r="D92" s="243">
        <v>0</v>
      </c>
      <c r="E92" s="243">
        <v>0</v>
      </c>
      <c r="F92" s="382">
        <v>0</v>
      </c>
      <c r="G92" s="212"/>
      <c r="H92" s="212"/>
      <c r="I92" s="212"/>
      <c r="J92" s="212"/>
    </row>
    <row r="93" spans="1:10" ht="12.75">
      <c r="A93" s="301"/>
      <c r="B93" s="611" t="s">
        <v>872</v>
      </c>
      <c r="C93" s="243">
        <v>0</v>
      </c>
      <c r="D93" s="243">
        <v>0</v>
      </c>
      <c r="E93" s="243">
        <v>0</v>
      </c>
      <c r="F93" s="382">
        <v>0</v>
      </c>
      <c r="G93" s="212"/>
      <c r="H93" s="212"/>
      <c r="I93" s="212"/>
      <c r="J93" s="212"/>
    </row>
    <row r="94" spans="1:10" ht="12.75">
      <c r="A94" s="301"/>
      <c r="B94" s="238" t="s">
        <v>869</v>
      </c>
      <c r="C94" s="243">
        <v>0</v>
      </c>
      <c r="D94" s="243">
        <v>0</v>
      </c>
      <c r="E94" s="243">
        <v>0</v>
      </c>
      <c r="F94" s="382">
        <v>0</v>
      </c>
      <c r="G94" s="212"/>
      <c r="H94" s="212"/>
      <c r="I94" s="212"/>
      <c r="J94" s="212"/>
    </row>
    <row r="95" spans="1:10" ht="12.75">
      <c r="A95" s="301"/>
      <c r="B95" s="611" t="s">
        <v>815</v>
      </c>
      <c r="C95" s="243">
        <v>0</v>
      </c>
      <c r="D95" s="243">
        <v>0</v>
      </c>
      <c r="E95" s="243">
        <v>0</v>
      </c>
      <c r="F95" s="382">
        <v>0</v>
      </c>
      <c r="G95" s="212"/>
      <c r="H95" s="212"/>
      <c r="I95" s="212"/>
      <c r="J95" s="212"/>
    </row>
    <row r="96" spans="1:10" ht="12.75">
      <c r="A96" s="301"/>
      <c r="B96" s="238" t="s">
        <v>53</v>
      </c>
      <c r="C96" s="243">
        <v>0</v>
      </c>
      <c r="D96" s="243">
        <v>0</v>
      </c>
      <c r="E96" s="243">
        <v>0</v>
      </c>
      <c r="F96" s="382">
        <v>0</v>
      </c>
      <c r="G96" s="212"/>
      <c r="H96" s="212"/>
      <c r="I96" s="212"/>
      <c r="J96" s="212"/>
    </row>
    <row r="97" spans="1:10" ht="12.75">
      <c r="A97" s="301"/>
      <c r="B97" s="611" t="s">
        <v>1018</v>
      </c>
      <c r="C97" s="243">
        <v>0</v>
      </c>
      <c r="D97" s="243">
        <v>0</v>
      </c>
      <c r="E97" s="243">
        <v>0</v>
      </c>
      <c r="F97" s="382">
        <v>0</v>
      </c>
      <c r="G97" s="212"/>
      <c r="H97" s="212"/>
      <c r="I97" s="212"/>
      <c r="J97" s="212"/>
    </row>
    <row r="98" spans="1:10" ht="12.75">
      <c r="A98" s="301"/>
      <c r="B98" s="238" t="s">
        <v>746</v>
      </c>
      <c r="C98" s="243">
        <v>0</v>
      </c>
      <c r="D98" s="243">
        <v>0</v>
      </c>
      <c r="E98" s="243">
        <v>0</v>
      </c>
      <c r="F98" s="382">
        <v>0</v>
      </c>
      <c r="G98" s="212"/>
      <c r="H98" s="212"/>
      <c r="I98" s="212"/>
      <c r="J98" s="212"/>
    </row>
    <row r="99" spans="1:10" ht="12.75">
      <c r="A99" s="301"/>
      <c r="B99" s="238"/>
      <c r="C99" s="243"/>
      <c r="D99" s="243"/>
      <c r="E99" s="243"/>
      <c r="F99" s="382"/>
      <c r="G99" s="212"/>
      <c r="H99" s="212"/>
      <c r="I99" s="212"/>
      <c r="J99" s="212"/>
    </row>
    <row r="100" spans="1:10" ht="12.75">
      <c r="A100" s="300"/>
      <c r="B100" s="227" t="s">
        <v>11</v>
      </c>
      <c r="C100" s="227">
        <f>SUM(C101:C105)</f>
        <v>0</v>
      </c>
      <c r="D100" s="227">
        <f>SUM(D101:D105)</f>
        <v>0</v>
      </c>
      <c r="E100" s="227">
        <f>SUM(E101:E105)</f>
        <v>0</v>
      </c>
      <c r="F100" s="381">
        <f>SUM(F101:F105)</f>
        <v>0</v>
      </c>
      <c r="G100" s="212"/>
      <c r="H100" s="212"/>
      <c r="I100" s="212"/>
      <c r="J100" s="212"/>
    </row>
    <row r="101" spans="1:10" ht="12.75">
      <c r="A101" s="301"/>
      <c r="B101" s="238" t="s">
        <v>7</v>
      </c>
      <c r="C101" s="243">
        <v>0</v>
      </c>
      <c r="D101" s="243">
        <v>0</v>
      </c>
      <c r="E101" s="243">
        <v>0</v>
      </c>
      <c r="F101" s="382">
        <v>0</v>
      </c>
      <c r="G101" s="212"/>
      <c r="H101" s="212"/>
      <c r="I101" s="212"/>
      <c r="J101" s="212"/>
    </row>
    <row r="102" spans="1:10" ht="12.75">
      <c r="A102" s="301"/>
      <c r="B102" s="238" t="s">
        <v>715</v>
      </c>
      <c r="C102" s="243">
        <v>0</v>
      </c>
      <c r="D102" s="243">
        <v>0</v>
      </c>
      <c r="E102" s="243">
        <v>0</v>
      </c>
      <c r="F102" s="382">
        <v>0</v>
      </c>
      <c r="G102" s="212"/>
      <c r="H102" s="212"/>
      <c r="I102" s="212"/>
      <c r="J102" s="212"/>
    </row>
    <row r="103" spans="1:10" ht="12.75">
      <c r="A103" s="301"/>
      <c r="B103" s="238" t="s">
        <v>794</v>
      </c>
      <c r="C103" s="243">
        <v>0</v>
      </c>
      <c r="D103" s="243">
        <v>0</v>
      </c>
      <c r="E103" s="243">
        <v>0</v>
      </c>
      <c r="F103" s="382">
        <v>0</v>
      </c>
      <c r="G103" s="212"/>
      <c r="H103" s="212"/>
      <c r="I103" s="212"/>
      <c r="J103" s="212"/>
    </row>
    <row r="104" spans="1:10" ht="12.75">
      <c r="A104" s="301"/>
      <c r="B104" s="238" t="s">
        <v>758</v>
      </c>
      <c r="C104" s="243">
        <v>0</v>
      </c>
      <c r="D104" s="243">
        <v>0</v>
      </c>
      <c r="E104" s="243">
        <v>0</v>
      </c>
      <c r="F104" s="382">
        <v>0</v>
      </c>
      <c r="G104" s="212"/>
      <c r="H104" s="212"/>
      <c r="I104" s="212"/>
      <c r="J104" s="212"/>
    </row>
    <row r="105" spans="1:10" ht="12.75">
      <c r="A105" s="301"/>
      <c r="B105" s="238" t="s">
        <v>855</v>
      </c>
      <c r="C105" s="243">
        <v>0</v>
      </c>
      <c r="D105" s="243">
        <v>0</v>
      </c>
      <c r="E105" s="243">
        <v>0</v>
      </c>
      <c r="F105" s="382">
        <v>0</v>
      </c>
      <c r="G105" s="212"/>
      <c r="H105" s="212"/>
      <c r="I105" s="212"/>
      <c r="J105" s="212"/>
    </row>
    <row r="106" spans="1:10" ht="12.75">
      <c r="A106" s="301"/>
      <c r="B106" s="238"/>
      <c r="C106" s="243"/>
      <c r="D106" s="243"/>
      <c r="E106" s="243"/>
      <c r="F106" s="382"/>
      <c r="G106" s="212"/>
      <c r="H106" s="212"/>
      <c r="I106" s="212"/>
      <c r="J106" s="212"/>
    </row>
    <row r="107" spans="1:10" ht="12.75">
      <c r="A107" s="295"/>
      <c r="B107" s="227" t="s">
        <v>161</v>
      </c>
      <c r="C107" s="227">
        <v>0</v>
      </c>
      <c r="D107" s="227">
        <v>0</v>
      </c>
      <c r="E107" s="227">
        <v>0</v>
      </c>
      <c r="F107" s="381">
        <f>+C107+E107</f>
        <v>0</v>
      </c>
      <c r="G107" s="212"/>
      <c r="H107" s="212"/>
      <c r="I107" s="212"/>
      <c r="J107" s="212"/>
    </row>
    <row r="108" spans="1:10" ht="12.75">
      <c r="A108" s="299"/>
      <c r="B108" s="243"/>
      <c r="C108" s="243"/>
      <c r="D108" s="243"/>
      <c r="E108" s="243"/>
      <c r="F108" s="382"/>
      <c r="G108" s="212"/>
      <c r="H108" s="212"/>
      <c r="I108" s="212"/>
      <c r="J108" s="212"/>
    </row>
    <row r="109" spans="1:10" ht="12.75">
      <c r="A109" s="300"/>
      <c r="B109" s="227" t="s">
        <v>462</v>
      </c>
      <c r="C109" s="227">
        <f>+C48-C52-C58-C60-C62-C66-C68-C70-C76-C82-C100-C107</f>
        <v>0</v>
      </c>
      <c r="D109" s="227">
        <f>+D48-D52-D58-D60-D62-D66-D68-D70-D76-D82-D100-D107</f>
        <v>0</v>
      </c>
      <c r="E109" s="227">
        <f>+E48-E52-E58-E60-E62-E66-E68-E70-E76-E82-E100-E107</f>
        <v>0</v>
      </c>
      <c r="F109" s="381">
        <f>+F48-F52-F58-F60-F62-F66-F68-F70-F76-F82-F100-F107</f>
        <v>0</v>
      </c>
      <c r="G109" s="212"/>
      <c r="H109" s="212"/>
      <c r="I109" s="212"/>
      <c r="J109" s="212"/>
    </row>
    <row r="110" spans="1:10" ht="12.75">
      <c r="A110" s="302"/>
      <c r="B110" s="243"/>
      <c r="C110" s="243"/>
      <c r="D110" s="243"/>
      <c r="E110" s="243"/>
      <c r="F110" s="382"/>
      <c r="G110" s="212"/>
      <c r="H110" s="212"/>
      <c r="I110" s="212"/>
      <c r="J110" s="212"/>
    </row>
    <row r="111" spans="1:10" ht="12.75">
      <c r="A111" s="300"/>
      <c r="B111" s="227" t="s">
        <v>62</v>
      </c>
      <c r="C111" s="227">
        <v>0</v>
      </c>
      <c r="D111" s="227">
        <v>0</v>
      </c>
      <c r="E111" s="227">
        <v>0</v>
      </c>
      <c r="F111" s="381">
        <f>+C111+E111</f>
        <v>0</v>
      </c>
      <c r="G111" s="212"/>
      <c r="H111" s="212"/>
      <c r="I111" s="212"/>
      <c r="J111" s="212"/>
    </row>
    <row r="112" spans="1:10" ht="12.75">
      <c r="A112" s="299"/>
      <c r="B112" s="243"/>
      <c r="C112" s="243"/>
      <c r="D112" s="243"/>
      <c r="E112" s="243"/>
      <c r="F112" s="382"/>
      <c r="G112" s="212"/>
      <c r="H112" s="212"/>
      <c r="I112" s="212"/>
      <c r="J112" s="212"/>
    </row>
    <row r="113" spans="1:10" ht="23.25">
      <c r="A113" s="608"/>
      <c r="B113" s="612" t="s">
        <v>143</v>
      </c>
      <c r="C113" s="465">
        <f>+C109-C111</f>
        <v>0</v>
      </c>
      <c r="D113" s="465">
        <f>+D109-D111</f>
        <v>0</v>
      </c>
      <c r="E113" s="465">
        <f>+E109-E111</f>
        <v>0</v>
      </c>
      <c r="F113" s="609">
        <f>+F109-F111</f>
        <v>0</v>
      </c>
      <c r="G113" s="212"/>
      <c r="H113" s="212"/>
      <c r="I113" s="212"/>
      <c r="J113" s="212"/>
    </row>
    <row r="114" spans="1:10" ht="12.75">
      <c r="A114" s="303"/>
      <c r="B114" s="244"/>
      <c r="C114" s="387"/>
      <c r="D114" s="386"/>
      <c r="E114" s="387"/>
      <c r="F114" s="388"/>
      <c r="G114" s="212"/>
      <c r="H114" s="212"/>
      <c r="I114" s="212"/>
      <c r="J114" s="212"/>
    </row>
    <row r="115" spans="1:10" ht="12.75">
      <c r="A115" s="300"/>
      <c r="B115" s="227" t="s">
        <v>13</v>
      </c>
      <c r="C115" s="227">
        <v>0</v>
      </c>
      <c r="D115" s="227">
        <v>0</v>
      </c>
      <c r="E115" s="227">
        <v>0</v>
      </c>
      <c r="F115" s="381">
        <f>+C115+E115</f>
        <v>0</v>
      </c>
      <c r="G115" s="212"/>
      <c r="H115" s="212"/>
      <c r="I115" s="212"/>
      <c r="J115" s="212"/>
    </row>
    <row r="116" spans="1:10" ht="12.75">
      <c r="A116" s="302"/>
      <c r="B116" s="243"/>
      <c r="C116" s="243"/>
      <c r="D116" s="243"/>
      <c r="E116" s="243"/>
      <c r="F116" s="382"/>
      <c r="G116" s="212"/>
      <c r="H116" s="212"/>
      <c r="I116" s="212"/>
      <c r="J116" s="212"/>
    </row>
    <row r="117" spans="1:10" s="236" customFormat="1" ht="15" thickBot="1">
      <c r="A117" s="304"/>
      <c r="B117" s="305" t="s">
        <v>64</v>
      </c>
      <c r="C117" s="305">
        <f>C113-C115</f>
        <v>0</v>
      </c>
      <c r="D117" s="305">
        <f>+D113-D115</f>
        <v>0</v>
      </c>
      <c r="E117" s="305">
        <f>E113-E115</f>
        <v>0</v>
      </c>
      <c r="F117" s="389">
        <f>+F113-F115</f>
        <v>0</v>
      </c>
      <c r="G117" s="235"/>
      <c r="H117" s="235"/>
      <c r="I117" s="235"/>
      <c r="J117" s="235"/>
    </row>
    <row r="118" spans="1:10" ht="14.25">
      <c r="A118" s="212"/>
      <c r="B118" s="230"/>
      <c r="C118" s="212"/>
      <c r="E118" s="212"/>
      <c r="F118" s="212"/>
      <c r="G118" s="212"/>
      <c r="H118" s="212"/>
      <c r="I118" s="212"/>
      <c r="J118" s="212"/>
    </row>
    <row r="119" spans="1:10" ht="12.75">
      <c r="A119" s="212"/>
      <c r="B119" s="324"/>
      <c r="G119" s="212"/>
      <c r="H119" s="212"/>
      <c r="I119" s="212"/>
      <c r="J119" s="212"/>
    </row>
    <row r="120" spans="6:10" ht="12.75">
      <c r="F120" s="212"/>
      <c r="G120" s="212"/>
      <c r="H120" s="212"/>
      <c r="I120" s="212"/>
      <c r="J120" s="212"/>
    </row>
    <row r="121" spans="3:10" ht="12.75">
      <c r="C121" s="325"/>
      <c r="D121" s="325"/>
      <c r="E121" s="325"/>
      <c r="F121" s="325"/>
      <c r="G121" s="212"/>
      <c r="H121" s="212"/>
      <c r="I121" s="212"/>
      <c r="J121" s="212"/>
    </row>
    <row r="122" spans="2:10" ht="14.25">
      <c r="B122" s="230"/>
      <c r="C122" s="235"/>
      <c r="D122" s="325"/>
      <c r="E122" s="235"/>
      <c r="F122" s="325"/>
      <c r="G122" s="212"/>
      <c r="H122" s="212"/>
      <c r="I122" s="212"/>
      <c r="J122" s="212"/>
    </row>
    <row r="123" spans="3:10" ht="12.75">
      <c r="C123" s="231"/>
      <c r="D123" s="231"/>
      <c r="E123" s="231"/>
      <c r="F123" s="231"/>
      <c r="G123" s="212"/>
      <c r="H123" s="212"/>
      <c r="I123" s="212"/>
      <c r="J123" s="212"/>
    </row>
    <row r="124" spans="7:10" ht="12.75">
      <c r="G124" s="212"/>
      <c r="H124" s="212"/>
      <c r="I124" s="212"/>
      <c r="J124" s="212"/>
    </row>
    <row r="125" spans="7:10" ht="12.75">
      <c r="G125" s="212"/>
      <c r="H125" s="212"/>
      <c r="I125" s="212"/>
      <c r="J125" s="212"/>
    </row>
    <row r="126" spans="7:10" ht="12.75">
      <c r="G126" s="212"/>
      <c r="H126" s="212"/>
      <c r="I126" s="212"/>
      <c r="J126" s="212"/>
    </row>
    <row r="127" spans="7:10" ht="12.75">
      <c r="G127" s="212"/>
      <c r="H127" s="212"/>
      <c r="I127" s="212"/>
      <c r="J127" s="212"/>
    </row>
    <row r="128" spans="7:10" ht="12.75">
      <c r="G128" s="212"/>
      <c r="H128" s="212"/>
      <c r="I128" s="212"/>
      <c r="J128" s="212"/>
    </row>
    <row r="129" spans="7:10" ht="12.75">
      <c r="G129" s="212"/>
      <c r="H129" s="212"/>
      <c r="I129" s="212"/>
      <c r="J129" s="212"/>
    </row>
    <row r="130" spans="7:10" ht="12.75">
      <c r="G130" s="212"/>
      <c r="H130" s="212"/>
      <c r="I130" s="212"/>
      <c r="J130" s="212"/>
    </row>
    <row r="131" spans="7:10" ht="12.75">
      <c r="G131" s="212"/>
      <c r="H131" s="212"/>
      <c r="I131" s="212"/>
      <c r="J131" s="212"/>
    </row>
    <row r="132" spans="7:10" ht="12.75">
      <c r="G132" s="212"/>
      <c r="H132" s="212"/>
      <c r="I132" s="212"/>
      <c r="J132" s="212"/>
    </row>
    <row r="133" spans="7:10" ht="12.75">
      <c r="G133" s="212"/>
      <c r="H133" s="212"/>
      <c r="I133" s="212"/>
      <c r="J133" s="212"/>
    </row>
    <row r="134" spans="7:10" ht="12.75">
      <c r="G134" s="212"/>
      <c r="H134" s="212"/>
      <c r="I134" s="212"/>
      <c r="J134" s="212"/>
    </row>
  </sheetData>
  <mergeCells count="3">
    <mergeCell ref="A3:A4"/>
    <mergeCell ref="B3:B4"/>
    <mergeCell ref="A1:F2"/>
  </mergeCells>
  <printOptions horizontalCentered="1"/>
  <pageMargins left="0.21" right="0.196850393700787" top="0.82" bottom="0.51" header="0.54" footer="0.51"/>
  <pageSetup fitToHeight="3" horizontalDpi="600" verticalDpi="600" orientation="portrait" paperSize="9" scale="88" r:id="rId3"/>
  <headerFooter alignWithMargins="0">
    <oddHeader>&amp;L&amp;16MIS-1&amp;C&amp;14Page &amp;P of &amp;N&amp;RMay 2008</oddHeader>
    <oddFooter>&amp;C&amp;14Company Name</oddFooter>
  </headerFooter>
  <rowBreaks count="1" manualBreakCount="1">
    <brk id="64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Y90"/>
  <sheetViews>
    <sheetView zoomScale="85" zoomScaleNormal="85" zoomScaleSheetLayoutView="85" workbookViewId="0" topLeftCell="A1">
      <selection activeCell="B75" sqref="B75"/>
    </sheetView>
  </sheetViews>
  <sheetFormatPr defaultColWidth="9.140625" defaultRowHeight="12.75"/>
  <cols>
    <col min="1" max="1" width="3.8515625" style="260" bestFit="1" customWidth="1"/>
    <col min="2" max="2" width="45.421875" style="253" bestFit="1" customWidth="1"/>
    <col min="3" max="3" width="14.00390625" style="253" customWidth="1"/>
    <col min="4" max="4" width="10.421875" style="253" bestFit="1" customWidth="1"/>
    <col min="5" max="5" width="12.8515625" style="253" bestFit="1" customWidth="1"/>
    <col min="6" max="6" width="10.421875" style="253" customWidth="1"/>
    <col min="7" max="7" width="14.7109375" style="253" hidden="1" customWidth="1"/>
    <col min="8" max="8" width="10.421875" style="253" hidden="1" customWidth="1"/>
    <col min="9" max="9" width="14.421875" style="253" bestFit="1" customWidth="1"/>
    <col min="10" max="10" width="10.421875" style="253" bestFit="1" customWidth="1"/>
    <col min="11" max="11" width="12.8515625" style="253" bestFit="1" customWidth="1"/>
    <col min="12" max="12" width="10.421875" style="253" bestFit="1" customWidth="1"/>
    <col min="13" max="13" width="11.8515625" style="253" bestFit="1" customWidth="1"/>
    <col min="14" max="15" width="12.8515625" style="253" bestFit="1" customWidth="1"/>
    <col min="16" max="16384" width="9.140625" style="253" customWidth="1"/>
  </cols>
  <sheetData>
    <row r="1" spans="1:12" ht="30.75" customHeight="1">
      <c r="A1" s="803" t="s">
        <v>849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5"/>
    </row>
    <row r="2" spans="1:17" ht="12.75" customHeight="1">
      <c r="A2" s="752" t="s">
        <v>1023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7"/>
      <c r="N2" s="210"/>
      <c r="O2" s="210"/>
      <c r="P2" s="210"/>
      <c r="Q2" s="210"/>
    </row>
    <row r="3" spans="1:17" ht="12.75" customHeight="1">
      <c r="A3" s="748" t="s">
        <v>415</v>
      </c>
      <c r="B3" s="749"/>
      <c r="C3" s="808">
        <v>0</v>
      </c>
      <c r="D3" s="809"/>
      <c r="E3" s="813">
        <v>0</v>
      </c>
      <c r="F3" s="814"/>
      <c r="G3" s="810">
        <f>E3*12</f>
        <v>0</v>
      </c>
      <c r="H3" s="811"/>
      <c r="I3" s="808">
        <v>0</v>
      </c>
      <c r="J3" s="809"/>
      <c r="K3" s="808">
        <f>+C3+I3</f>
        <v>0</v>
      </c>
      <c r="L3" s="812"/>
      <c r="M3" s="264"/>
      <c r="N3" s="626"/>
      <c r="O3" s="210"/>
      <c r="P3" s="210"/>
      <c r="Q3" s="625"/>
    </row>
    <row r="4" spans="1:17" ht="12.75" customHeight="1">
      <c r="A4" s="750"/>
      <c r="B4" s="751"/>
      <c r="C4" s="797" t="s">
        <v>1022</v>
      </c>
      <c r="D4" s="798"/>
      <c r="E4" s="799" t="s">
        <v>806</v>
      </c>
      <c r="F4" s="799"/>
      <c r="G4" s="797" t="s">
        <v>805</v>
      </c>
      <c r="H4" s="800"/>
      <c r="I4" s="797" t="s">
        <v>807</v>
      </c>
      <c r="J4" s="798"/>
      <c r="K4" s="797" t="s">
        <v>808</v>
      </c>
      <c r="L4" s="815"/>
      <c r="M4" s="264"/>
      <c r="N4" s="626"/>
      <c r="O4" s="210"/>
      <c r="P4" s="210"/>
      <c r="Q4" s="625"/>
    </row>
    <row r="5" spans="1:17" ht="12.75" customHeight="1">
      <c r="A5" s="752" t="s">
        <v>178</v>
      </c>
      <c r="B5" s="794"/>
      <c r="C5" s="245" t="s">
        <v>34</v>
      </c>
      <c r="D5" s="245" t="s">
        <v>416</v>
      </c>
      <c r="E5" s="245" t="s">
        <v>34</v>
      </c>
      <c r="F5" s="245" t="s">
        <v>416</v>
      </c>
      <c r="G5" s="245" t="s">
        <v>34</v>
      </c>
      <c r="H5" s="246" t="s">
        <v>416</v>
      </c>
      <c r="I5" s="245" t="s">
        <v>34</v>
      </c>
      <c r="J5" s="245" t="s">
        <v>416</v>
      </c>
      <c r="K5" s="245" t="s">
        <v>34</v>
      </c>
      <c r="L5" s="604" t="s">
        <v>416</v>
      </c>
      <c r="M5" s="264"/>
      <c r="N5" s="626"/>
      <c r="O5" s="210"/>
      <c r="P5" s="210"/>
      <c r="Q5" s="625"/>
    </row>
    <row r="6" spans="1:17" ht="12.75" customHeight="1">
      <c r="A6" s="756" t="s">
        <v>417</v>
      </c>
      <c r="B6" s="753"/>
      <c r="C6" s="265">
        <v>0</v>
      </c>
      <c r="D6" s="265" t="e">
        <f>C6/C3</f>
        <v>#DIV/0!</v>
      </c>
      <c r="E6" s="266">
        <v>0</v>
      </c>
      <c r="F6" s="265" t="e">
        <f>E6/$E$3</f>
        <v>#DIV/0!</v>
      </c>
      <c r="G6" s="266">
        <f>E6*12</f>
        <v>0</v>
      </c>
      <c r="H6" s="265" t="e">
        <f>(G6/G3)</f>
        <v>#DIV/0!</v>
      </c>
      <c r="I6" s="265">
        <v>0</v>
      </c>
      <c r="J6" s="265" t="e">
        <f>I6/I3</f>
        <v>#DIV/0!</v>
      </c>
      <c r="K6" s="266">
        <f>+C6+I6</f>
        <v>0</v>
      </c>
      <c r="L6" s="605" t="e">
        <f>K6/K3</f>
        <v>#DIV/0!</v>
      </c>
      <c r="M6" s="267"/>
      <c r="N6" s="626"/>
      <c r="O6" s="210"/>
      <c r="P6" s="210"/>
      <c r="Q6" s="625"/>
    </row>
    <row r="7" spans="1:17" ht="12.75" customHeight="1">
      <c r="A7" s="416"/>
      <c r="B7" s="254"/>
      <c r="C7" s="256"/>
      <c r="D7" s="257"/>
      <c r="E7" s="256"/>
      <c r="F7" s="257"/>
      <c r="G7" s="257"/>
      <c r="H7" s="257"/>
      <c r="I7" s="256"/>
      <c r="J7" s="257"/>
      <c r="K7" s="257"/>
      <c r="L7" s="606"/>
      <c r="M7" s="255"/>
      <c r="N7" s="210"/>
      <c r="O7" s="210"/>
      <c r="P7" s="210"/>
      <c r="Q7" s="625"/>
    </row>
    <row r="8" spans="1:17" ht="19.5" customHeight="1">
      <c r="A8" s="417" t="s">
        <v>418</v>
      </c>
      <c r="B8" s="268" t="s">
        <v>419</v>
      </c>
      <c r="C8" s="251">
        <f>+C9+C15+C17+C19+C23+C25+C27+C32</f>
        <v>0</v>
      </c>
      <c r="D8" s="251"/>
      <c r="E8" s="251">
        <f>+E9+E15+E17+E19+E23+E25+E27+E32</f>
        <v>0</v>
      </c>
      <c r="F8" s="251"/>
      <c r="G8" s="251">
        <f>+G9+G15+G17+G19+G23+G25+G27+G32</f>
        <v>20273421</v>
      </c>
      <c r="H8" s="251"/>
      <c r="I8" s="251">
        <f>+I9+I15+I17+I19+I23+I25+I27+I32</f>
        <v>0</v>
      </c>
      <c r="J8" s="251"/>
      <c r="K8" s="251">
        <f>+K9+K15+K17+K19+K23+K25+K27+K32</f>
        <v>0</v>
      </c>
      <c r="L8" s="418"/>
      <c r="M8" s="255"/>
      <c r="N8" s="210"/>
      <c r="O8" s="210"/>
      <c r="P8" s="210"/>
      <c r="Q8" s="625"/>
    </row>
    <row r="9" spans="1:17" ht="15.75" customHeight="1">
      <c r="A9" s="419"/>
      <c r="B9" s="762" t="s">
        <v>420</v>
      </c>
      <c r="C9" s="215">
        <f>SUM(C10:C13)</f>
        <v>0</v>
      </c>
      <c r="D9" s="215" t="e">
        <f>C9/$C$3</f>
        <v>#DIV/0!</v>
      </c>
      <c r="E9" s="249">
        <f>SUM(E10:E13)</f>
        <v>0</v>
      </c>
      <c r="F9" s="249" t="e">
        <f>E9/$E$3</f>
        <v>#DIV/0!</v>
      </c>
      <c r="G9" s="249">
        <f>SUM(G10:G13)</f>
        <v>6515740</v>
      </c>
      <c r="H9" s="249" t="e">
        <f>G9/$G$3</f>
        <v>#DIV/0!</v>
      </c>
      <c r="I9" s="215">
        <f>SUM(I10:I13)</f>
        <v>0</v>
      </c>
      <c r="J9" s="215" t="e">
        <f>I9/$I$3</f>
        <v>#DIV/0!</v>
      </c>
      <c r="K9" s="249">
        <f>SUM(K10:K13)</f>
        <v>0</v>
      </c>
      <c r="L9" s="430" t="e">
        <f>K9/$K$3</f>
        <v>#DIV/0!</v>
      </c>
      <c r="N9" s="627"/>
      <c r="O9" s="210"/>
      <c r="P9" s="210"/>
      <c r="Q9" s="625"/>
    </row>
    <row r="10" spans="1:17" ht="12.75" customHeight="1">
      <c r="A10" s="419"/>
      <c r="B10" s="247" t="s">
        <v>421</v>
      </c>
      <c r="C10" s="215">
        <v>0</v>
      </c>
      <c r="D10" s="215"/>
      <c r="E10" s="249">
        <f>+'P &amp; L '!D53</f>
        <v>0</v>
      </c>
      <c r="F10" s="249"/>
      <c r="G10" s="249">
        <v>5635740</v>
      </c>
      <c r="H10" s="249"/>
      <c r="I10" s="215">
        <f>+'P &amp; L '!E53</f>
        <v>0</v>
      </c>
      <c r="J10" s="215"/>
      <c r="K10" s="249">
        <f>+C10+I10</f>
        <v>0</v>
      </c>
      <c r="L10" s="430"/>
      <c r="N10" s="628"/>
      <c r="O10" s="210"/>
      <c r="P10" s="210"/>
      <c r="Q10" s="625"/>
    </row>
    <row r="11" spans="1:17" ht="12.75" customHeight="1">
      <c r="A11" s="419"/>
      <c r="B11" s="247" t="s">
        <v>784</v>
      </c>
      <c r="C11" s="215">
        <v>0</v>
      </c>
      <c r="D11" s="215"/>
      <c r="E11" s="249">
        <f>+'P &amp; L '!D54+'P &amp; L '!D55</f>
        <v>0</v>
      </c>
      <c r="F11" s="249"/>
      <c r="G11" s="249">
        <v>880000</v>
      </c>
      <c r="H11" s="249"/>
      <c r="I11" s="215">
        <f>+'P &amp; L '!E54+'P &amp; L '!E55</f>
        <v>0</v>
      </c>
      <c r="J11" s="215"/>
      <c r="K11" s="249">
        <f aca="true" t="shared" si="0" ref="K11:K17">+C11+I11</f>
        <v>0</v>
      </c>
      <c r="L11" s="430"/>
      <c r="N11" s="627"/>
      <c r="O11" s="210"/>
      <c r="P11" s="210"/>
      <c r="Q11" s="625"/>
    </row>
    <row r="12" spans="1:17" ht="12.75" customHeight="1">
      <c r="A12" s="419"/>
      <c r="B12" s="247" t="s">
        <v>422</v>
      </c>
      <c r="C12" s="215">
        <v>0</v>
      </c>
      <c r="D12" s="215"/>
      <c r="E12" s="249">
        <f>+'P &amp; L '!D56</f>
        <v>0</v>
      </c>
      <c r="F12" s="249"/>
      <c r="G12" s="249">
        <v>0</v>
      </c>
      <c r="H12" s="249"/>
      <c r="I12" s="215">
        <f>+'P &amp; L '!E56</f>
        <v>0</v>
      </c>
      <c r="J12" s="215"/>
      <c r="K12" s="249">
        <f t="shared" si="0"/>
        <v>0</v>
      </c>
      <c r="L12" s="430"/>
      <c r="N12" s="627"/>
      <c r="O12" s="210"/>
      <c r="P12" s="210"/>
      <c r="Q12" s="625"/>
    </row>
    <row r="13" spans="1:17" ht="12.75" customHeight="1">
      <c r="A13" s="419"/>
      <c r="B13" s="247" t="s">
        <v>756</v>
      </c>
      <c r="C13" s="215">
        <v>0</v>
      </c>
      <c r="D13" s="215"/>
      <c r="E13" s="249">
        <v>0</v>
      </c>
      <c r="F13" s="249">
        <v>0</v>
      </c>
      <c r="G13" s="249">
        <f>E13*7</f>
        <v>0</v>
      </c>
      <c r="H13" s="249">
        <v>0</v>
      </c>
      <c r="I13" s="215">
        <v>0</v>
      </c>
      <c r="J13" s="215"/>
      <c r="K13" s="249">
        <f t="shared" si="0"/>
        <v>0</v>
      </c>
      <c r="L13" s="430"/>
      <c r="N13" s="628"/>
      <c r="O13" s="210"/>
      <c r="P13" s="210"/>
      <c r="Q13" s="625"/>
    </row>
    <row r="14" spans="1:17" ht="12.75" customHeight="1">
      <c r="A14" s="419"/>
      <c r="B14" s="247"/>
      <c r="C14" s="215"/>
      <c r="D14" s="215"/>
      <c r="E14" s="249"/>
      <c r="F14" s="249"/>
      <c r="G14" s="249"/>
      <c r="H14" s="249"/>
      <c r="I14" s="215"/>
      <c r="J14" s="215"/>
      <c r="K14" s="249"/>
      <c r="L14" s="430"/>
      <c r="N14" s="627"/>
      <c r="O14" s="210"/>
      <c r="P14" s="210"/>
      <c r="Q14" s="625"/>
    </row>
    <row r="15" spans="1:17" ht="18">
      <c r="A15" s="419"/>
      <c r="B15" s="762" t="s">
        <v>304</v>
      </c>
      <c r="C15" s="215">
        <v>0</v>
      </c>
      <c r="D15" s="215" t="e">
        <f>C15/$C$3</f>
        <v>#DIV/0!</v>
      </c>
      <c r="E15" s="249">
        <f>+'P &amp; L '!D58</f>
        <v>0</v>
      </c>
      <c r="F15" s="249" t="e">
        <f>E15/$E$3</f>
        <v>#DIV/0!</v>
      </c>
      <c r="G15" s="249">
        <f>E15*7</f>
        <v>0</v>
      </c>
      <c r="H15" s="249" t="e">
        <f>G15/$K$3</f>
        <v>#DIV/0!</v>
      </c>
      <c r="I15" s="215">
        <f>+'P &amp; L '!E58</f>
        <v>0</v>
      </c>
      <c r="J15" s="215" t="e">
        <f>I15/$I$3</f>
        <v>#DIV/0!</v>
      </c>
      <c r="K15" s="249">
        <f t="shared" si="0"/>
        <v>0</v>
      </c>
      <c r="L15" s="430"/>
      <c r="N15" s="628"/>
      <c r="O15" s="210"/>
      <c r="P15" s="210"/>
      <c r="Q15" s="210"/>
    </row>
    <row r="16" spans="1:14" ht="12.75" customHeight="1">
      <c r="A16" s="419"/>
      <c r="B16" s="247"/>
      <c r="C16" s="215"/>
      <c r="D16" s="215"/>
      <c r="E16" s="249"/>
      <c r="F16" s="249"/>
      <c r="G16" s="249"/>
      <c r="H16" s="249"/>
      <c r="I16" s="215"/>
      <c r="J16" s="215"/>
      <c r="K16" s="249"/>
      <c r="L16" s="430"/>
      <c r="M16" s="624"/>
      <c r="N16" s="255"/>
    </row>
    <row r="17" spans="1:14" ht="18">
      <c r="A17" s="419"/>
      <c r="B17" s="762" t="s">
        <v>302</v>
      </c>
      <c r="C17" s="215">
        <v>0</v>
      </c>
      <c r="D17" s="215" t="e">
        <f>C17/$C$3</f>
        <v>#DIV/0!</v>
      </c>
      <c r="E17" s="249">
        <f>+'P &amp; L '!D60</f>
        <v>0</v>
      </c>
      <c r="F17" s="249" t="e">
        <f>E17/$E$3</f>
        <v>#DIV/0!</v>
      </c>
      <c r="G17" s="249">
        <v>2555000</v>
      </c>
      <c r="H17" s="249" t="e">
        <f>G17/$G$3</f>
        <v>#DIV/0!</v>
      </c>
      <c r="I17" s="215">
        <f>+'P &amp; L '!E60</f>
        <v>0</v>
      </c>
      <c r="J17" s="215" t="e">
        <f>I17/$I$3</f>
        <v>#DIV/0!</v>
      </c>
      <c r="K17" s="249">
        <f t="shared" si="0"/>
        <v>0</v>
      </c>
      <c r="L17" s="430" t="e">
        <f>K17/$K$3</f>
        <v>#DIV/0!</v>
      </c>
      <c r="M17" s="624"/>
      <c r="N17" s="255"/>
    </row>
    <row r="18" spans="1:12" ht="12.75" customHeight="1">
      <c r="A18" s="419"/>
      <c r="B18" s="247"/>
      <c r="C18" s="215"/>
      <c r="D18" s="215"/>
      <c r="E18" s="249"/>
      <c r="F18" s="249"/>
      <c r="G18" s="249"/>
      <c r="H18" s="249"/>
      <c r="I18" s="215"/>
      <c r="J18" s="215"/>
      <c r="K18" s="249"/>
      <c r="L18" s="430"/>
    </row>
    <row r="19" spans="1:12" ht="18">
      <c r="A19" s="419"/>
      <c r="B19" s="762" t="s">
        <v>306</v>
      </c>
      <c r="C19" s="215">
        <f>SUM(C20:C21)</f>
        <v>0</v>
      </c>
      <c r="D19" s="215" t="e">
        <f>C19/$C$3</f>
        <v>#DIV/0!</v>
      </c>
      <c r="E19" s="249">
        <f>SUM(E20:E21)</f>
        <v>0</v>
      </c>
      <c r="F19" s="249" t="e">
        <f>E19/$E$3</f>
        <v>#DIV/0!</v>
      </c>
      <c r="G19" s="249">
        <f>SUM(G20:G21)</f>
        <v>272000</v>
      </c>
      <c r="H19" s="248" t="e">
        <f>G19/$G$3</f>
        <v>#DIV/0!</v>
      </c>
      <c r="I19" s="215">
        <f>SUM(I20:I21)</f>
        <v>0</v>
      </c>
      <c r="J19" s="215" t="e">
        <f>I19/$I$3</f>
        <v>#DIV/0!</v>
      </c>
      <c r="K19" s="249">
        <f>SUM(K20:K21)</f>
        <v>0</v>
      </c>
      <c r="L19" s="430" t="e">
        <f>K19/$K$3</f>
        <v>#DIV/0!</v>
      </c>
    </row>
    <row r="20" spans="1:12" ht="12.75" customHeight="1">
      <c r="A20" s="419"/>
      <c r="B20" s="247" t="s">
        <v>718</v>
      </c>
      <c r="C20" s="215">
        <v>0</v>
      </c>
      <c r="D20" s="215"/>
      <c r="E20" s="249">
        <f>+'P &amp; L '!D63</f>
        <v>0</v>
      </c>
      <c r="F20" s="249"/>
      <c r="G20" s="249">
        <v>272000</v>
      </c>
      <c r="H20" s="249"/>
      <c r="I20" s="215">
        <f>+'P &amp; L '!E63</f>
        <v>0</v>
      </c>
      <c r="J20" s="215"/>
      <c r="K20" s="249">
        <f aca="true" t="shared" si="1" ref="K20:K25">+C20+I20</f>
        <v>0</v>
      </c>
      <c r="L20" s="430"/>
    </row>
    <row r="21" spans="1:12" ht="12.75" customHeight="1">
      <c r="A21" s="419"/>
      <c r="B21" s="247" t="s">
        <v>359</v>
      </c>
      <c r="C21" s="215">
        <v>0</v>
      </c>
      <c r="D21" s="215"/>
      <c r="E21" s="249">
        <f>+'P &amp; L '!D64</f>
        <v>0</v>
      </c>
      <c r="F21" s="249">
        <v>0</v>
      </c>
      <c r="G21" s="249">
        <f>E21*7</f>
        <v>0</v>
      </c>
      <c r="H21" s="249">
        <v>0</v>
      </c>
      <c r="I21" s="215">
        <f>+'P &amp; L '!E64</f>
        <v>0</v>
      </c>
      <c r="J21" s="215"/>
      <c r="K21" s="249">
        <f t="shared" si="1"/>
        <v>0</v>
      </c>
      <c r="L21" s="430"/>
    </row>
    <row r="22" spans="1:12" ht="12.75" customHeight="1">
      <c r="A22" s="419"/>
      <c r="B22" s="247"/>
      <c r="C22" s="215"/>
      <c r="D22" s="215"/>
      <c r="E22" s="249"/>
      <c r="F22" s="249"/>
      <c r="G22" s="249"/>
      <c r="H22" s="249"/>
      <c r="I22" s="215"/>
      <c r="J22" s="215"/>
      <c r="K22" s="249"/>
      <c r="L22" s="430"/>
    </row>
    <row r="23" spans="1:12" ht="18">
      <c r="A23" s="419"/>
      <c r="B23" s="762" t="s">
        <v>5</v>
      </c>
      <c r="C23" s="215">
        <v>0</v>
      </c>
      <c r="D23" s="215" t="e">
        <f>C23/$C$3</f>
        <v>#DIV/0!</v>
      </c>
      <c r="E23" s="249">
        <f>+'P &amp; L '!D66</f>
        <v>0</v>
      </c>
      <c r="F23" s="249" t="e">
        <f>E23/$E$3</f>
        <v>#DIV/0!</v>
      </c>
      <c r="G23" s="249">
        <v>2475000</v>
      </c>
      <c r="H23" s="248" t="e">
        <f>G23/$G$3</f>
        <v>#DIV/0!</v>
      </c>
      <c r="I23" s="215">
        <f>+'P &amp; L '!E66</f>
        <v>0</v>
      </c>
      <c r="J23" s="215" t="e">
        <f>I23/$I$3</f>
        <v>#DIV/0!</v>
      </c>
      <c r="K23" s="249">
        <f t="shared" si="1"/>
        <v>0</v>
      </c>
      <c r="L23" s="430" t="e">
        <f>K23/$K$3</f>
        <v>#DIV/0!</v>
      </c>
    </row>
    <row r="24" spans="1:12" ht="12.75" customHeight="1">
      <c r="A24" s="419"/>
      <c r="B24" s="247"/>
      <c r="C24" s="215"/>
      <c r="D24" s="215"/>
      <c r="E24" s="249"/>
      <c r="F24" s="249"/>
      <c r="G24" s="249"/>
      <c r="H24" s="249"/>
      <c r="I24" s="215"/>
      <c r="J24" s="215"/>
      <c r="K24" s="249"/>
      <c r="L24" s="430"/>
    </row>
    <row r="25" spans="1:12" ht="18">
      <c r="A25" s="419"/>
      <c r="B25" s="762" t="s">
        <v>308</v>
      </c>
      <c r="C25" s="215">
        <v>0</v>
      </c>
      <c r="D25" s="215" t="e">
        <f>C25/$C$3</f>
        <v>#DIV/0!</v>
      </c>
      <c r="E25" s="249">
        <f>+'P &amp; L '!D68</f>
        <v>0</v>
      </c>
      <c r="F25" s="249" t="e">
        <f>E25/$E$3</f>
        <v>#DIV/0!</v>
      </c>
      <c r="G25" s="249">
        <v>488000</v>
      </c>
      <c r="H25" s="248" t="e">
        <f>G25/$E$3</f>
        <v>#DIV/0!</v>
      </c>
      <c r="I25" s="215">
        <f>+'P &amp; L '!E68</f>
        <v>0</v>
      </c>
      <c r="J25" s="215" t="e">
        <f>I25/$I$3</f>
        <v>#DIV/0!</v>
      </c>
      <c r="K25" s="249">
        <f t="shared" si="1"/>
        <v>0</v>
      </c>
      <c r="L25" s="430" t="e">
        <f>K25/$K$3</f>
        <v>#DIV/0!</v>
      </c>
    </row>
    <row r="26" spans="1:12" ht="12.75" customHeight="1">
      <c r="A26" s="419"/>
      <c r="B26" s="247"/>
      <c r="C26" s="215"/>
      <c r="D26" s="215"/>
      <c r="E26" s="249"/>
      <c r="F26" s="249"/>
      <c r="G26" s="249"/>
      <c r="H26" s="249"/>
      <c r="I26" s="215"/>
      <c r="J26" s="215"/>
      <c r="K26" s="249"/>
      <c r="L26" s="430"/>
    </row>
    <row r="27" spans="1:12" ht="18">
      <c r="A27" s="419"/>
      <c r="B27" s="762" t="s">
        <v>874</v>
      </c>
      <c r="C27" s="215">
        <f>SUM(C28:C30)</f>
        <v>0</v>
      </c>
      <c r="D27" s="215" t="e">
        <f>C27/$C$3</f>
        <v>#DIV/0!</v>
      </c>
      <c r="E27" s="249">
        <f>SUM(E28:E30)</f>
        <v>0</v>
      </c>
      <c r="F27" s="249" t="e">
        <f>E27/$E$3</f>
        <v>#DIV/0!</v>
      </c>
      <c r="G27" s="249">
        <f>SUM(G28:G30)</f>
        <v>2193000</v>
      </c>
      <c r="H27" s="248" t="e">
        <f>G27/$G$3</f>
        <v>#DIV/0!</v>
      </c>
      <c r="I27" s="215">
        <f>SUM(I28:I30)</f>
        <v>0</v>
      </c>
      <c r="J27" s="215" t="e">
        <f>I27/$I$3</f>
        <v>#DIV/0!</v>
      </c>
      <c r="K27" s="249">
        <f>SUM(K28:K30)</f>
        <v>0</v>
      </c>
      <c r="L27" s="430" t="e">
        <f>K27/$K$3</f>
        <v>#DIV/0!</v>
      </c>
    </row>
    <row r="28" spans="1:12" ht="12.75" customHeight="1">
      <c r="A28" s="419"/>
      <c r="B28" s="252" t="s">
        <v>46</v>
      </c>
      <c r="C28" s="215">
        <v>0</v>
      </c>
      <c r="D28" s="215"/>
      <c r="E28" s="249">
        <f>+'P &amp; L '!D71</f>
        <v>0</v>
      </c>
      <c r="F28" s="249"/>
      <c r="G28" s="249">
        <v>959000</v>
      </c>
      <c r="H28" s="249"/>
      <c r="I28" s="215">
        <f>+'P &amp; L '!E71</f>
        <v>0</v>
      </c>
      <c r="J28" s="215"/>
      <c r="K28" s="249">
        <f>+C28+I28</f>
        <v>0</v>
      </c>
      <c r="L28" s="430"/>
    </row>
    <row r="29" spans="1:12" ht="12.75" customHeight="1">
      <c r="A29" s="419"/>
      <c r="B29" s="252" t="s">
        <v>47</v>
      </c>
      <c r="C29" s="215">
        <v>0</v>
      </c>
      <c r="D29" s="215"/>
      <c r="E29" s="249">
        <f>+'P &amp; L '!D72</f>
        <v>0</v>
      </c>
      <c r="F29" s="249"/>
      <c r="G29" s="249">
        <v>0</v>
      </c>
      <c r="H29" s="249"/>
      <c r="I29" s="215">
        <f>+'P &amp; L '!E72</f>
        <v>0</v>
      </c>
      <c r="J29" s="215"/>
      <c r="K29" s="249">
        <f>+C29+I29</f>
        <v>0</v>
      </c>
      <c r="L29" s="430"/>
    </row>
    <row r="30" spans="1:12" ht="12.75" customHeight="1">
      <c r="A30" s="419"/>
      <c r="B30" s="252" t="s">
        <v>856</v>
      </c>
      <c r="C30" s="215">
        <v>0</v>
      </c>
      <c r="D30" s="215"/>
      <c r="E30" s="249">
        <f>+'P &amp; L '!D73+'P &amp; L '!D74</f>
        <v>0</v>
      </c>
      <c r="F30" s="249"/>
      <c r="G30" s="249">
        <f>959000+275000</f>
        <v>1234000</v>
      </c>
      <c r="H30" s="249"/>
      <c r="I30" s="215">
        <f>+'P &amp; L '!E73+'P &amp; L '!E74</f>
        <v>0</v>
      </c>
      <c r="J30" s="215"/>
      <c r="K30" s="249">
        <f>+C30+I30</f>
        <v>0</v>
      </c>
      <c r="L30" s="430"/>
    </row>
    <row r="31" spans="1:12" ht="12.75" customHeight="1">
      <c r="A31" s="419"/>
      <c r="B31" s="247"/>
      <c r="C31" s="215">
        <v>0</v>
      </c>
      <c r="D31" s="215"/>
      <c r="E31" s="249"/>
      <c r="F31" s="249"/>
      <c r="G31" s="249"/>
      <c r="H31" s="249"/>
      <c r="I31" s="215"/>
      <c r="J31" s="215"/>
      <c r="K31" s="249"/>
      <c r="L31" s="430"/>
    </row>
    <row r="32" spans="1:12" ht="18">
      <c r="A32" s="419"/>
      <c r="B32" s="762" t="s">
        <v>423</v>
      </c>
      <c r="C32" s="215">
        <f>SUM(C33:C35)</f>
        <v>0</v>
      </c>
      <c r="D32" s="215" t="e">
        <f>C32/$C$3</f>
        <v>#DIV/0!</v>
      </c>
      <c r="E32" s="249">
        <f>SUM(E33:E35)</f>
        <v>0</v>
      </c>
      <c r="F32" s="249" t="e">
        <f>E32/$E$3</f>
        <v>#DIV/0!</v>
      </c>
      <c r="G32" s="249">
        <f>SUM(G33:G35)</f>
        <v>5774681</v>
      </c>
      <c r="H32" s="248" t="e">
        <f>G32/$G$3</f>
        <v>#DIV/0!</v>
      </c>
      <c r="I32" s="215">
        <f>SUM(I33:I35)</f>
        <v>0</v>
      </c>
      <c r="J32" s="215" t="e">
        <f>I32/$I$3</f>
        <v>#DIV/0!</v>
      </c>
      <c r="K32" s="249">
        <f>SUM(K33:K35)</f>
        <v>0</v>
      </c>
      <c r="L32" s="430" t="e">
        <f>K32/$K$3</f>
        <v>#DIV/0!</v>
      </c>
    </row>
    <row r="33" spans="1:12" ht="12.75" customHeight="1">
      <c r="A33" s="419"/>
      <c r="B33" s="247" t="s">
        <v>48</v>
      </c>
      <c r="C33" s="215">
        <v>0</v>
      </c>
      <c r="D33" s="215"/>
      <c r="E33" s="249">
        <f>+'P &amp; L '!D77</f>
        <v>0</v>
      </c>
      <c r="F33" s="249"/>
      <c r="G33" s="249">
        <v>5231765</v>
      </c>
      <c r="H33" s="249"/>
      <c r="I33" s="215">
        <f>+'P &amp; L '!E77</f>
        <v>0</v>
      </c>
      <c r="J33" s="215"/>
      <c r="K33" s="249">
        <f>+C33+I33</f>
        <v>0</v>
      </c>
      <c r="L33" s="430"/>
    </row>
    <row r="34" spans="1:12" ht="12.75" customHeight="1">
      <c r="A34" s="419"/>
      <c r="B34" s="247" t="s">
        <v>453</v>
      </c>
      <c r="C34" s="215">
        <v>0</v>
      </c>
      <c r="D34" s="215"/>
      <c r="E34" s="249">
        <f>+'P &amp; L '!D78</f>
        <v>0</v>
      </c>
      <c r="F34" s="249"/>
      <c r="G34" s="249">
        <v>487916</v>
      </c>
      <c r="H34" s="249"/>
      <c r="I34" s="215">
        <f>+'P &amp; L '!E78</f>
        <v>0</v>
      </c>
      <c r="J34" s="215"/>
      <c r="K34" s="249">
        <f>+C34+I34</f>
        <v>0</v>
      </c>
      <c r="L34" s="430"/>
    </row>
    <row r="35" spans="1:12" ht="12.75" customHeight="1">
      <c r="A35" s="419"/>
      <c r="B35" s="247" t="s">
        <v>725</v>
      </c>
      <c r="C35" s="215">
        <v>0</v>
      </c>
      <c r="D35" s="215"/>
      <c r="E35" s="249">
        <f>+'P &amp; L '!D79+'P &amp; L '!D80</f>
        <v>0</v>
      </c>
      <c r="F35" s="249"/>
      <c r="G35" s="249">
        <v>55000</v>
      </c>
      <c r="H35" s="249"/>
      <c r="I35" s="215">
        <f>+'P &amp; L '!E79+'P &amp; L '!E80</f>
        <v>0</v>
      </c>
      <c r="J35" s="215"/>
      <c r="K35" s="249">
        <f>+C35+I35</f>
        <v>0</v>
      </c>
      <c r="L35" s="430"/>
    </row>
    <row r="36" spans="1:12" ht="12.75" customHeight="1">
      <c r="A36" s="419"/>
      <c r="B36" s="247"/>
      <c r="C36" s="215"/>
      <c r="D36" s="215"/>
      <c r="E36" s="249"/>
      <c r="F36" s="249"/>
      <c r="G36" s="249"/>
      <c r="H36" s="249"/>
      <c r="I36" s="215"/>
      <c r="J36" s="215"/>
      <c r="K36" s="249"/>
      <c r="L36" s="430"/>
    </row>
    <row r="37" spans="1:12" ht="18.75" customHeight="1">
      <c r="A37" s="420" t="s">
        <v>424</v>
      </c>
      <c r="B37" s="763" t="s">
        <v>425</v>
      </c>
      <c r="C37" s="251">
        <f>SUM(C38:C53)</f>
        <v>0</v>
      </c>
      <c r="D37" s="251" t="e">
        <f>C37/$C$3</f>
        <v>#DIV/0!</v>
      </c>
      <c r="E37" s="251">
        <f>SUM(E38:E53)</f>
        <v>0</v>
      </c>
      <c r="F37" s="251" t="e">
        <f>E37/$E$3</f>
        <v>#DIV/0!</v>
      </c>
      <c r="G37" s="251">
        <f>SUM(G38:G53)</f>
        <v>1864500</v>
      </c>
      <c r="H37" s="251" t="e">
        <f>G37/$G$3</f>
        <v>#DIV/0!</v>
      </c>
      <c r="I37" s="251">
        <f>SUM(I38:I53)</f>
        <v>0</v>
      </c>
      <c r="J37" s="251" t="e">
        <f>I37/$I$3</f>
        <v>#DIV/0!</v>
      </c>
      <c r="K37" s="251">
        <f>SUM(K38:K53)</f>
        <v>0</v>
      </c>
      <c r="L37" s="418" t="e">
        <f>K37/$K$3</f>
        <v>#DIV/0!</v>
      </c>
    </row>
    <row r="38" spans="1:12" ht="12.75" customHeight="1">
      <c r="A38" s="419"/>
      <c r="B38" s="247" t="s">
        <v>426</v>
      </c>
      <c r="C38" s="215">
        <v>0</v>
      </c>
      <c r="D38" s="215"/>
      <c r="E38" s="249">
        <f>+'P &amp; L '!D83</f>
        <v>0</v>
      </c>
      <c r="F38" s="249"/>
      <c r="G38" s="249">
        <v>253000</v>
      </c>
      <c r="H38" s="249"/>
      <c r="I38" s="215">
        <f>+'P &amp; L '!E83</f>
        <v>0</v>
      </c>
      <c r="J38" s="215"/>
      <c r="K38" s="249">
        <f aca="true" t="shared" si="2" ref="K38:K53">+C38+I38</f>
        <v>0</v>
      </c>
      <c r="L38" s="430"/>
    </row>
    <row r="39" spans="1:12" ht="12.75" customHeight="1">
      <c r="A39" s="419"/>
      <c r="B39" s="247" t="s">
        <v>809</v>
      </c>
      <c r="C39" s="215">
        <v>0</v>
      </c>
      <c r="D39" s="215"/>
      <c r="E39" s="249">
        <f>+'P &amp; L '!D84+'P &amp; L '!D85</f>
        <v>0</v>
      </c>
      <c r="F39" s="249"/>
      <c r="G39" s="249">
        <v>165000</v>
      </c>
      <c r="H39" s="249"/>
      <c r="I39" s="215">
        <f>+'P &amp; L '!E84+'P &amp; L '!E85</f>
        <v>0</v>
      </c>
      <c r="J39" s="215"/>
      <c r="K39" s="249">
        <f t="shared" si="2"/>
        <v>0</v>
      </c>
      <c r="L39" s="430"/>
    </row>
    <row r="40" spans="1:12" ht="12.75" customHeight="1">
      <c r="A40" s="419"/>
      <c r="B40" s="247" t="s">
        <v>165</v>
      </c>
      <c r="C40" s="215">
        <v>0</v>
      </c>
      <c r="D40" s="215"/>
      <c r="E40" s="249">
        <f>+'P &amp; L '!D86</f>
        <v>0</v>
      </c>
      <c r="F40" s="249"/>
      <c r="G40" s="249">
        <v>242000</v>
      </c>
      <c r="H40" s="249"/>
      <c r="I40" s="215">
        <f>+'P &amp; L '!E86</f>
        <v>0</v>
      </c>
      <c r="J40" s="215"/>
      <c r="K40" s="249">
        <f t="shared" si="2"/>
        <v>0</v>
      </c>
      <c r="L40" s="430"/>
    </row>
    <row r="41" spans="1:12" ht="12.75" customHeight="1">
      <c r="A41" s="419"/>
      <c r="B41" s="247" t="s">
        <v>816</v>
      </c>
      <c r="C41" s="215">
        <v>0</v>
      </c>
      <c r="D41" s="215"/>
      <c r="E41" s="249">
        <f>+'P &amp; L '!D95</f>
        <v>0</v>
      </c>
      <c r="F41" s="249"/>
      <c r="G41" s="249">
        <v>0</v>
      </c>
      <c r="H41" s="249"/>
      <c r="I41" s="215">
        <f>+'P &amp; L '!E95</f>
        <v>0</v>
      </c>
      <c r="J41" s="215"/>
      <c r="K41" s="249">
        <f t="shared" si="2"/>
        <v>0</v>
      </c>
      <c r="L41" s="430"/>
    </row>
    <row r="42" spans="1:12" ht="12.75" customHeight="1">
      <c r="A42" s="419"/>
      <c r="B42" s="247" t="s">
        <v>318</v>
      </c>
      <c r="C42" s="215">
        <v>0</v>
      </c>
      <c r="D42" s="215"/>
      <c r="E42" s="249">
        <f>+'P &amp; L '!D88</f>
        <v>0</v>
      </c>
      <c r="F42" s="249"/>
      <c r="G42" s="249">
        <v>77000</v>
      </c>
      <c r="H42" s="249"/>
      <c r="I42" s="215">
        <f>+'P &amp; L '!E88</f>
        <v>0</v>
      </c>
      <c r="J42" s="215"/>
      <c r="K42" s="249">
        <f t="shared" si="2"/>
        <v>0</v>
      </c>
      <c r="L42" s="430"/>
    </row>
    <row r="43" spans="1:14" ht="12.75" customHeight="1">
      <c r="A43" s="419"/>
      <c r="B43" s="247" t="s">
        <v>325</v>
      </c>
      <c r="C43" s="215">
        <v>0</v>
      </c>
      <c r="D43" s="215"/>
      <c r="E43" s="249">
        <f>+'P &amp; L '!D89</f>
        <v>0</v>
      </c>
      <c r="F43" s="249"/>
      <c r="G43" s="249">
        <v>220000</v>
      </c>
      <c r="H43" s="249"/>
      <c r="I43" s="215">
        <f>+'P &amp; L '!E89</f>
        <v>0</v>
      </c>
      <c r="J43" s="215"/>
      <c r="K43" s="249">
        <f t="shared" si="2"/>
        <v>0</v>
      </c>
      <c r="L43" s="430"/>
      <c r="N43" s="261"/>
    </row>
    <row r="44" spans="1:12" ht="12.75" customHeight="1">
      <c r="A44" s="419"/>
      <c r="B44" s="247" t="s">
        <v>326</v>
      </c>
      <c r="C44" s="215">
        <v>0</v>
      </c>
      <c r="D44" s="215"/>
      <c r="E44" s="249">
        <f>+'P &amp; L '!D90</f>
        <v>0</v>
      </c>
      <c r="F44" s="249"/>
      <c r="G44" s="249">
        <v>110000</v>
      </c>
      <c r="H44" s="249"/>
      <c r="I44" s="215">
        <f>+'P &amp; L '!E90</f>
        <v>0</v>
      </c>
      <c r="J44" s="215"/>
      <c r="K44" s="249">
        <f t="shared" si="2"/>
        <v>0</v>
      </c>
      <c r="L44" s="430"/>
    </row>
    <row r="45" spans="1:12" ht="12.75" customHeight="1">
      <c r="A45" s="419"/>
      <c r="B45" s="247" t="s">
        <v>427</v>
      </c>
      <c r="C45" s="215">
        <v>0</v>
      </c>
      <c r="D45" s="215"/>
      <c r="E45" s="249">
        <f>+'P &amp; L '!D91</f>
        <v>0</v>
      </c>
      <c r="F45" s="249"/>
      <c r="G45" s="249">
        <v>55000</v>
      </c>
      <c r="H45" s="249"/>
      <c r="I45" s="215">
        <f>+'P &amp; L '!E91</f>
        <v>0</v>
      </c>
      <c r="J45" s="215"/>
      <c r="K45" s="249">
        <f t="shared" si="2"/>
        <v>0</v>
      </c>
      <c r="L45" s="430"/>
    </row>
    <row r="46" spans="1:12" ht="12.75" customHeight="1">
      <c r="A46" s="419"/>
      <c r="B46" s="247" t="s">
        <v>786</v>
      </c>
      <c r="C46" s="215">
        <v>0</v>
      </c>
      <c r="D46" s="215"/>
      <c r="E46" s="249">
        <f>+'P &amp; L '!D87</f>
        <v>0</v>
      </c>
      <c r="F46" s="249"/>
      <c r="G46" s="249">
        <v>82500</v>
      </c>
      <c r="H46" s="249"/>
      <c r="I46" s="215">
        <f>+'P &amp; L '!E87</f>
        <v>0</v>
      </c>
      <c r="J46" s="215"/>
      <c r="K46" s="249">
        <f t="shared" si="2"/>
        <v>0</v>
      </c>
      <c r="L46" s="430"/>
    </row>
    <row r="47" spans="1:12" ht="12.75" customHeight="1">
      <c r="A47" s="419"/>
      <c r="B47" s="247" t="s">
        <v>671</v>
      </c>
      <c r="C47" s="215">
        <v>0</v>
      </c>
      <c r="D47" s="215"/>
      <c r="E47" s="249">
        <f>+'P &amp; L '!D92</f>
        <v>0</v>
      </c>
      <c r="F47" s="249"/>
      <c r="G47" s="249">
        <v>330000</v>
      </c>
      <c r="H47" s="249"/>
      <c r="I47" s="215">
        <f>+'P &amp; L '!E92</f>
        <v>0</v>
      </c>
      <c r="J47" s="215"/>
      <c r="K47" s="249">
        <f t="shared" si="2"/>
        <v>0</v>
      </c>
      <c r="L47" s="430"/>
    </row>
    <row r="48" spans="1:12" ht="12.75" customHeight="1">
      <c r="A48" s="419"/>
      <c r="B48" s="252" t="s">
        <v>571</v>
      </c>
      <c r="C48" s="215">
        <v>0</v>
      </c>
      <c r="D48" s="215"/>
      <c r="E48" s="249">
        <f>+'P &amp; L '!D93</f>
        <v>0</v>
      </c>
      <c r="F48" s="249"/>
      <c r="G48" s="249">
        <v>110000</v>
      </c>
      <c r="H48" s="249"/>
      <c r="I48" s="215">
        <f>+'P &amp; L '!E93</f>
        <v>0</v>
      </c>
      <c r="J48" s="215"/>
      <c r="K48" s="249">
        <f t="shared" si="2"/>
        <v>0</v>
      </c>
      <c r="L48" s="430"/>
    </row>
    <row r="49" spans="1:12" ht="12.75" customHeight="1">
      <c r="A49" s="419"/>
      <c r="B49" s="252" t="s">
        <v>549</v>
      </c>
      <c r="C49" s="215">
        <v>0</v>
      </c>
      <c r="D49" s="215"/>
      <c r="E49" s="249">
        <f>+'P &amp; L '!D94</f>
        <v>0</v>
      </c>
      <c r="F49" s="249"/>
      <c r="G49" s="249">
        <v>0</v>
      </c>
      <c r="H49" s="249"/>
      <c r="I49" s="215">
        <f>+'P &amp; L '!E94</f>
        <v>0</v>
      </c>
      <c r="J49" s="215"/>
      <c r="K49" s="249">
        <f t="shared" si="2"/>
        <v>0</v>
      </c>
      <c r="L49" s="430"/>
    </row>
    <row r="50" spans="1:12" ht="12.75" customHeight="1">
      <c r="A50" s="419"/>
      <c r="B50" s="247" t="s">
        <v>428</v>
      </c>
      <c r="C50" s="215">
        <v>0</v>
      </c>
      <c r="D50" s="215"/>
      <c r="E50" s="249">
        <v>0</v>
      </c>
      <c r="F50" s="249"/>
      <c r="G50" s="249">
        <v>0</v>
      </c>
      <c r="H50" s="249"/>
      <c r="I50" s="215">
        <v>0</v>
      </c>
      <c r="J50" s="215"/>
      <c r="K50" s="249">
        <f t="shared" si="2"/>
        <v>0</v>
      </c>
      <c r="L50" s="430"/>
    </row>
    <row r="51" spans="1:12" ht="12.75" customHeight="1">
      <c r="A51" s="419"/>
      <c r="B51" s="247" t="s">
        <v>785</v>
      </c>
      <c r="C51" s="215">
        <v>0</v>
      </c>
      <c r="D51" s="215"/>
      <c r="E51" s="249">
        <f>+'P &amp; L '!D96</f>
        <v>0</v>
      </c>
      <c r="F51" s="249"/>
      <c r="G51" s="249">
        <v>220000</v>
      </c>
      <c r="H51" s="249"/>
      <c r="I51" s="215">
        <f>+'P &amp; L '!E96</f>
        <v>0</v>
      </c>
      <c r="J51" s="215"/>
      <c r="K51" s="249">
        <f t="shared" si="2"/>
        <v>0</v>
      </c>
      <c r="L51" s="430"/>
    </row>
    <row r="52" spans="1:12" ht="12.75" customHeight="1">
      <c r="A52" s="419"/>
      <c r="B52" s="258" t="s">
        <v>828</v>
      </c>
      <c r="C52" s="215">
        <v>0</v>
      </c>
      <c r="D52" s="215"/>
      <c r="E52" s="249">
        <f>+'P &amp; L '!D97</f>
        <v>0</v>
      </c>
      <c r="F52" s="249"/>
      <c r="G52" s="249">
        <v>0</v>
      </c>
      <c r="H52" s="249"/>
      <c r="I52" s="263">
        <f>+'P &amp; L '!E97</f>
        <v>0</v>
      </c>
      <c r="J52" s="215"/>
      <c r="K52" s="630">
        <f t="shared" si="2"/>
        <v>0</v>
      </c>
      <c r="L52" s="430"/>
    </row>
    <row r="53" spans="1:12" ht="12.75" customHeight="1" thickBot="1">
      <c r="A53" s="421"/>
      <c r="B53" s="422" t="s">
        <v>746</v>
      </c>
      <c r="C53" s="215">
        <v>0</v>
      </c>
      <c r="D53" s="423"/>
      <c r="E53" s="424">
        <f>+'P &amp; L '!D98</f>
        <v>0</v>
      </c>
      <c r="F53" s="424"/>
      <c r="G53" s="424">
        <f>E53*7</f>
        <v>0</v>
      </c>
      <c r="H53" s="424"/>
      <c r="I53" s="215">
        <f>+'P &amp; L '!E98</f>
        <v>0</v>
      </c>
      <c r="J53" s="423"/>
      <c r="K53" s="249">
        <f t="shared" si="2"/>
        <v>0</v>
      </c>
      <c r="L53" s="607"/>
    </row>
    <row r="54" spans="1:12" ht="12.75" customHeight="1">
      <c r="A54" s="425"/>
      <c r="B54" s="426"/>
      <c r="C54" s="427"/>
      <c r="D54" s="427"/>
      <c r="E54" s="428"/>
      <c r="F54" s="428"/>
      <c r="G54" s="428"/>
      <c r="H54" s="428"/>
      <c r="I54" s="427"/>
      <c r="J54" s="427"/>
      <c r="K54" s="428"/>
      <c r="L54" s="429"/>
    </row>
    <row r="55" spans="1:12" ht="16.5" customHeight="1">
      <c r="A55" s="420" t="s">
        <v>429</v>
      </c>
      <c r="B55" s="763" t="s">
        <v>11</v>
      </c>
      <c r="C55" s="251">
        <f>SUM(C56:C60)</f>
        <v>0</v>
      </c>
      <c r="D55" s="251" t="e">
        <f>C55/$C$3</f>
        <v>#DIV/0!</v>
      </c>
      <c r="E55" s="251">
        <f>SUM(E56:E60)</f>
        <v>0</v>
      </c>
      <c r="F55" s="251" t="e">
        <f>E55/$E$3</f>
        <v>#DIV/0!</v>
      </c>
      <c r="G55" s="251">
        <f>SUM(G56:G60)</f>
        <v>275000</v>
      </c>
      <c r="H55" s="250" t="e">
        <f>G55/$G$3</f>
        <v>#DIV/0!</v>
      </c>
      <c r="I55" s="251">
        <f>SUM(I56:I60)</f>
        <v>0</v>
      </c>
      <c r="J55" s="251" t="e">
        <f>I55/$I$3</f>
        <v>#DIV/0!</v>
      </c>
      <c r="K55" s="251">
        <f>SUM(K56:K60)</f>
        <v>0</v>
      </c>
      <c r="L55" s="418" t="e">
        <f>K55/$K$3</f>
        <v>#DIV/0!</v>
      </c>
    </row>
    <row r="56" spans="1:12" ht="12.75" customHeight="1">
      <c r="A56" s="419"/>
      <c r="B56" s="247" t="s">
        <v>7</v>
      </c>
      <c r="C56" s="215">
        <v>0</v>
      </c>
      <c r="D56" s="215"/>
      <c r="E56" s="249">
        <f>+'P &amp; L '!D101</f>
        <v>0</v>
      </c>
      <c r="F56" s="249"/>
      <c r="G56" s="249">
        <v>187000</v>
      </c>
      <c r="H56" s="249"/>
      <c r="I56" s="215">
        <f>+'P &amp; L '!E101</f>
        <v>0</v>
      </c>
      <c r="J56" s="215"/>
      <c r="K56" s="249">
        <f>+C56+I56</f>
        <v>0</v>
      </c>
      <c r="L56" s="430"/>
    </row>
    <row r="57" spans="1:12" ht="12.75" customHeight="1">
      <c r="A57" s="419"/>
      <c r="B57" s="247" t="s">
        <v>715</v>
      </c>
      <c r="C57" s="215">
        <v>0</v>
      </c>
      <c r="D57" s="215"/>
      <c r="E57" s="249">
        <f>+'P &amp; L '!D102</f>
        <v>0</v>
      </c>
      <c r="F57" s="249"/>
      <c r="G57" s="249">
        <v>88000</v>
      </c>
      <c r="H57" s="249"/>
      <c r="I57" s="215">
        <f>+'P &amp; L '!E102</f>
        <v>0</v>
      </c>
      <c r="J57" s="215"/>
      <c r="K57" s="249">
        <f>+C57+I57</f>
        <v>0</v>
      </c>
      <c r="L57" s="430"/>
    </row>
    <row r="58" spans="1:12" ht="12.75" customHeight="1">
      <c r="A58" s="419"/>
      <c r="B58" s="247" t="s">
        <v>810</v>
      </c>
      <c r="C58" s="215">
        <v>0</v>
      </c>
      <c r="D58" s="215"/>
      <c r="E58" s="249">
        <f>+'P &amp; L '!D103</f>
        <v>0</v>
      </c>
      <c r="F58" s="249"/>
      <c r="G58" s="249">
        <v>0</v>
      </c>
      <c r="H58" s="249"/>
      <c r="I58" s="215">
        <f>+'P &amp; L '!E103</f>
        <v>0</v>
      </c>
      <c r="J58" s="215"/>
      <c r="K58" s="249">
        <f>+C58+I58</f>
        <v>0</v>
      </c>
      <c r="L58" s="430"/>
    </row>
    <row r="59" spans="1:12" ht="12.75" customHeight="1">
      <c r="A59" s="419"/>
      <c r="B59" s="247" t="s">
        <v>430</v>
      </c>
      <c r="C59" s="215">
        <v>0</v>
      </c>
      <c r="D59" s="215"/>
      <c r="E59" s="249">
        <f>+'P &amp; L '!D104</f>
        <v>0</v>
      </c>
      <c r="F59" s="249"/>
      <c r="G59" s="249">
        <v>0</v>
      </c>
      <c r="H59" s="249"/>
      <c r="I59" s="215">
        <f>+'P &amp; L '!E104</f>
        <v>0</v>
      </c>
      <c r="J59" s="215"/>
      <c r="K59" s="249">
        <f>+C59+I59</f>
        <v>0</v>
      </c>
      <c r="L59" s="430"/>
    </row>
    <row r="60" spans="1:12" ht="12.75" customHeight="1">
      <c r="A60" s="419"/>
      <c r="B60" s="238" t="s">
        <v>855</v>
      </c>
      <c r="C60" s="215">
        <v>0</v>
      </c>
      <c r="D60" s="215"/>
      <c r="E60" s="249">
        <f>+'P &amp; L '!D105</f>
        <v>0</v>
      </c>
      <c r="F60" s="249"/>
      <c r="G60" s="249">
        <v>0</v>
      </c>
      <c r="H60" s="249"/>
      <c r="I60" s="215">
        <f>+'P &amp; L '!E105</f>
        <v>0</v>
      </c>
      <c r="J60" s="215"/>
      <c r="K60" s="249">
        <f>+C60+I60</f>
        <v>0</v>
      </c>
      <c r="L60" s="430"/>
    </row>
    <row r="61" spans="1:12" ht="12.75" customHeight="1">
      <c r="A61" s="419"/>
      <c r="B61" s="247"/>
      <c r="C61" s="215"/>
      <c r="D61" s="215"/>
      <c r="E61" s="249"/>
      <c r="F61" s="249"/>
      <c r="G61" s="249"/>
      <c r="H61" s="249"/>
      <c r="I61" s="215"/>
      <c r="J61" s="215"/>
      <c r="K61" s="249"/>
      <c r="L61" s="430"/>
    </row>
    <row r="62" spans="1:12" ht="16.5" customHeight="1">
      <c r="A62" s="420" t="s">
        <v>431</v>
      </c>
      <c r="B62" s="763" t="s">
        <v>159</v>
      </c>
      <c r="C62" s="251">
        <v>0</v>
      </c>
      <c r="D62" s="251" t="e">
        <f>C62/$C$3</f>
        <v>#DIV/0!</v>
      </c>
      <c r="E62" s="251">
        <v>0</v>
      </c>
      <c r="F62" s="251" t="e">
        <f>E62/$E$3</f>
        <v>#DIV/0!</v>
      </c>
      <c r="G62" s="251">
        <f>E62*11</f>
        <v>0</v>
      </c>
      <c r="H62" s="251" t="e">
        <f>G62/$G$3</f>
        <v>#DIV/0!</v>
      </c>
      <c r="I62" s="251">
        <v>0</v>
      </c>
      <c r="J62" s="251" t="e">
        <f>I62/$I$3</f>
        <v>#DIV/0!</v>
      </c>
      <c r="K62" s="250">
        <f>I62*2</f>
        <v>0</v>
      </c>
      <c r="L62" s="418" t="e">
        <f>K62/$K$3</f>
        <v>#DIV/0!</v>
      </c>
    </row>
    <row r="63" spans="1:12" ht="12.75" customHeight="1">
      <c r="A63" s="419"/>
      <c r="B63" s="436"/>
      <c r="C63" s="215"/>
      <c r="D63" s="215"/>
      <c r="E63" s="249"/>
      <c r="F63" s="249"/>
      <c r="G63" s="249"/>
      <c r="H63" s="249"/>
      <c r="I63" s="215"/>
      <c r="J63" s="215"/>
      <c r="K63" s="249"/>
      <c r="L63" s="430"/>
    </row>
    <row r="64" spans="1:13" ht="18" customHeight="1">
      <c r="A64" s="795"/>
      <c r="B64" s="438" t="s">
        <v>689</v>
      </c>
      <c r="C64" s="754">
        <f>+C62+C55+C37+C8</f>
        <v>0</v>
      </c>
      <c r="D64" s="754" t="e">
        <f>SUM(D9:D62)</f>
        <v>#DIV/0!</v>
      </c>
      <c r="E64" s="754">
        <f>+E62+E55+E37+E8</f>
        <v>0</v>
      </c>
      <c r="F64" s="754" t="e">
        <f>F17+F9+F25+F27+F19+F23+F32+F55+F37+F62++F15</f>
        <v>#DIV/0!</v>
      </c>
      <c r="G64" s="251">
        <f>+G62+G55+G37+G8</f>
        <v>22412921</v>
      </c>
      <c r="H64" s="251" t="e">
        <f>SUM(H9:H62)</f>
        <v>#DIV/0!</v>
      </c>
      <c r="I64" s="754">
        <f>+I62+I55+I37+I8</f>
        <v>0</v>
      </c>
      <c r="J64" s="754" t="e">
        <f>SUM(J9:J62)</f>
        <v>#DIV/0!</v>
      </c>
      <c r="K64" s="754">
        <f>+K62+K55+K37+K8</f>
        <v>0</v>
      </c>
      <c r="L64" s="801" t="e">
        <f>SUM(L9:L62)</f>
        <v>#DIV/0!</v>
      </c>
      <c r="M64" s="255"/>
    </row>
    <row r="65" spans="1:12" ht="12.75" customHeight="1">
      <c r="A65" s="796"/>
      <c r="B65" s="439" t="s">
        <v>688</v>
      </c>
      <c r="C65" s="755"/>
      <c r="D65" s="755"/>
      <c r="E65" s="755"/>
      <c r="F65" s="755"/>
      <c r="G65" s="249"/>
      <c r="H65" s="249"/>
      <c r="I65" s="755"/>
      <c r="J65" s="755"/>
      <c r="K65" s="755"/>
      <c r="L65" s="802"/>
    </row>
    <row r="66" spans="1:12" ht="12.75" customHeight="1">
      <c r="A66" s="419"/>
      <c r="B66" s="437"/>
      <c r="C66" s="215"/>
      <c r="D66" s="215"/>
      <c r="E66" s="249"/>
      <c r="F66" s="249"/>
      <c r="G66" s="249"/>
      <c r="H66" s="249"/>
      <c r="I66" s="215"/>
      <c r="J66" s="215"/>
      <c r="K66" s="249"/>
      <c r="L66" s="430"/>
    </row>
    <row r="67" spans="1:15" ht="18.75" customHeight="1">
      <c r="A67" s="420" t="s">
        <v>432</v>
      </c>
      <c r="B67" s="763" t="s">
        <v>322</v>
      </c>
      <c r="C67" s="251">
        <v>0</v>
      </c>
      <c r="D67" s="251" t="e">
        <f>C67/$C$3</f>
        <v>#DIV/0!</v>
      </c>
      <c r="E67" s="251">
        <v>0</v>
      </c>
      <c r="F67" s="251" t="e">
        <f>E67/$E$3</f>
        <v>#DIV/0!</v>
      </c>
      <c r="G67" s="251">
        <f>E67*11</f>
        <v>0</v>
      </c>
      <c r="H67" s="251" t="e">
        <f>G67/$G$3</f>
        <v>#DIV/0!</v>
      </c>
      <c r="I67" s="251">
        <v>0</v>
      </c>
      <c r="J67" s="251" t="e">
        <f>I67/$I$3</f>
        <v>#DIV/0!</v>
      </c>
      <c r="K67" s="251">
        <f>+I67*2</f>
        <v>0</v>
      </c>
      <c r="L67" s="418" t="e">
        <f>K67/$K$3</f>
        <v>#DIV/0!</v>
      </c>
      <c r="O67" s="435"/>
    </row>
    <row r="68" spans="1:12" ht="12.75" customHeight="1">
      <c r="A68" s="419"/>
      <c r="B68" s="247"/>
      <c r="C68" s="215"/>
      <c r="D68" s="215"/>
      <c r="E68" s="249"/>
      <c r="F68" s="249"/>
      <c r="G68" s="249"/>
      <c r="H68" s="249"/>
      <c r="I68" s="215"/>
      <c r="J68" s="215"/>
      <c r="K68" s="249"/>
      <c r="L68" s="430"/>
    </row>
    <row r="69" spans="1:12" ht="18">
      <c r="A69" s="419"/>
      <c r="B69" s="247" t="s">
        <v>687</v>
      </c>
      <c r="C69" s="263">
        <f>+C67+C64</f>
        <v>0</v>
      </c>
      <c r="D69" s="215" t="e">
        <f>D64+D67</f>
        <v>#DIV/0!</v>
      </c>
      <c r="E69" s="249">
        <f>E64+E67</f>
        <v>0</v>
      </c>
      <c r="F69" s="249" t="e">
        <f>F64+F67</f>
        <v>#DIV/0!</v>
      </c>
      <c r="G69" s="249">
        <f>G64+G67</f>
        <v>22412921</v>
      </c>
      <c r="H69" s="249" t="e">
        <f>H64+H67</f>
        <v>#DIV/0!</v>
      </c>
      <c r="I69" s="263">
        <f>+I67+I64</f>
        <v>0</v>
      </c>
      <c r="J69" s="215" t="e">
        <f>J64+J67</f>
        <v>#DIV/0!</v>
      </c>
      <c r="K69" s="249">
        <f>+K67+K64</f>
        <v>0</v>
      </c>
      <c r="L69" s="430" t="e">
        <f>L64+L67</f>
        <v>#DIV/0!</v>
      </c>
    </row>
    <row r="70" spans="1:12" ht="12.75" customHeight="1">
      <c r="A70" s="419"/>
      <c r="B70" s="247"/>
      <c r="C70" s="215"/>
      <c r="D70" s="215"/>
      <c r="E70" s="249"/>
      <c r="F70" s="249"/>
      <c r="G70" s="249"/>
      <c r="H70" s="249"/>
      <c r="I70" s="215"/>
      <c r="J70" s="215"/>
      <c r="K70" s="249"/>
      <c r="L70" s="430"/>
    </row>
    <row r="71" spans="1:12" ht="21" customHeight="1">
      <c r="A71" s="420" t="s">
        <v>433</v>
      </c>
      <c r="B71" s="763" t="s">
        <v>13</v>
      </c>
      <c r="C71" s="251">
        <v>0</v>
      </c>
      <c r="D71" s="251" t="e">
        <f>C71/$C$3</f>
        <v>#DIV/0!</v>
      </c>
      <c r="E71" s="251">
        <v>0</v>
      </c>
      <c r="F71" s="251" t="e">
        <f>E71/$E$3</f>
        <v>#DIV/0!</v>
      </c>
      <c r="G71" s="251">
        <f>E71*11</f>
        <v>0</v>
      </c>
      <c r="H71" s="251" t="e">
        <f>G71/$G$3</f>
        <v>#DIV/0!</v>
      </c>
      <c r="I71" s="251">
        <v>0</v>
      </c>
      <c r="J71" s="251" t="e">
        <f>I71/$I$3</f>
        <v>#DIV/0!</v>
      </c>
      <c r="K71" s="251">
        <f>+I71*2</f>
        <v>0</v>
      </c>
      <c r="L71" s="418" t="e">
        <f>K71/$K$3</f>
        <v>#DIV/0!</v>
      </c>
    </row>
    <row r="72" spans="1:12" ht="12.75" customHeight="1">
      <c r="A72" s="419"/>
      <c r="B72" s="247"/>
      <c r="C72" s="215"/>
      <c r="D72" s="215"/>
      <c r="E72" s="249"/>
      <c r="F72" s="249"/>
      <c r="G72" s="249"/>
      <c r="H72" s="249"/>
      <c r="I72" s="215"/>
      <c r="J72" s="215"/>
      <c r="K72" s="249"/>
      <c r="L72" s="430"/>
    </row>
    <row r="73" spans="1:12" ht="12.75" customHeight="1">
      <c r="A73" s="416"/>
      <c r="B73" s="254" t="s">
        <v>434</v>
      </c>
      <c r="C73" s="214">
        <f>+C71+C69</f>
        <v>0</v>
      </c>
      <c r="D73" s="215" t="e">
        <f>D69+D71</f>
        <v>#DIV/0!</v>
      </c>
      <c r="E73" s="248">
        <f>+E71+E69</f>
        <v>0</v>
      </c>
      <c r="F73" s="248" t="e">
        <f>F69+F71</f>
        <v>#DIV/0!</v>
      </c>
      <c r="G73" s="248">
        <f>+G71+G69</f>
        <v>22412921</v>
      </c>
      <c r="H73" s="249" t="e">
        <f>H69+H71</f>
        <v>#DIV/0!</v>
      </c>
      <c r="I73" s="214">
        <f>+I71+I69</f>
        <v>0</v>
      </c>
      <c r="J73" s="215" t="e">
        <f>J69+J71</f>
        <v>#DIV/0!</v>
      </c>
      <c r="K73" s="248">
        <f>+K71+K69</f>
        <v>0</v>
      </c>
      <c r="L73" s="430" t="e">
        <f>L69+L71</f>
        <v>#DIV/0!</v>
      </c>
    </row>
    <row r="74" spans="1:12" ht="18">
      <c r="A74" s="419"/>
      <c r="B74" s="247"/>
      <c r="C74" s="215"/>
      <c r="D74" s="215"/>
      <c r="E74" s="249"/>
      <c r="F74" s="249"/>
      <c r="G74" s="249"/>
      <c r="H74" s="249"/>
      <c r="I74" s="215"/>
      <c r="J74" s="215"/>
      <c r="K74" s="249"/>
      <c r="L74" s="430"/>
    </row>
    <row r="75" spans="1:25" s="259" customFormat="1" ht="18.75" thickBot="1">
      <c r="A75" s="431"/>
      <c r="B75" s="432" t="s">
        <v>686</v>
      </c>
      <c r="C75" s="433">
        <f>+C6-C73</f>
        <v>0</v>
      </c>
      <c r="D75" s="433" t="e">
        <f>D6-D73</f>
        <v>#DIV/0!</v>
      </c>
      <c r="E75" s="433">
        <f>+E6-E73</f>
        <v>0</v>
      </c>
      <c r="F75" s="433" t="e">
        <f>F6-F73</f>
        <v>#DIV/0!</v>
      </c>
      <c r="G75" s="433">
        <f>+G6-G73-23000000</f>
        <v>-45412921</v>
      </c>
      <c r="H75" s="433" t="e">
        <f>H6-H73</f>
        <v>#DIV/0!</v>
      </c>
      <c r="I75" s="433">
        <f>+I6-I73</f>
        <v>0</v>
      </c>
      <c r="J75" s="433" t="e">
        <f>J6-J73</f>
        <v>#DIV/0!</v>
      </c>
      <c r="K75" s="433">
        <f>+K6-K73</f>
        <v>0</v>
      </c>
      <c r="L75" s="434" t="e">
        <f>L6-L73</f>
        <v>#DIV/0!</v>
      </c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</row>
    <row r="76" spans="3:10" ht="18">
      <c r="C76" s="379"/>
      <c r="D76" s="379"/>
      <c r="E76" s="261"/>
      <c r="G76" s="255"/>
      <c r="I76" s="377"/>
      <c r="J76" s="377"/>
    </row>
    <row r="77" spans="3:12" ht="18">
      <c r="C77" s="380"/>
      <c r="D77" s="380"/>
      <c r="E77" s="380"/>
      <c r="F77" s="380"/>
      <c r="G77" s="380"/>
      <c r="H77" s="380"/>
      <c r="I77" s="380"/>
      <c r="J77" s="380"/>
      <c r="K77" s="380"/>
      <c r="L77" s="380"/>
    </row>
    <row r="78" spans="6:11" ht="18">
      <c r="F78" s="261"/>
      <c r="G78" s="261"/>
      <c r="K78" s="261"/>
    </row>
    <row r="79" spans="6:9" ht="18">
      <c r="F79" s="255"/>
      <c r="G79" s="261"/>
      <c r="I79" s="261"/>
    </row>
    <row r="88" ht="18">
      <c r="B88" s="210"/>
    </row>
    <row r="90" spans="1:2" ht="18">
      <c r="A90" s="262"/>
      <c r="B90" s="210"/>
    </row>
  </sheetData>
  <mergeCells count="24">
    <mergeCell ref="K64:K65"/>
    <mergeCell ref="L64:L65"/>
    <mergeCell ref="A1:L1"/>
    <mergeCell ref="A2:L2"/>
    <mergeCell ref="C3:D3"/>
    <mergeCell ref="G3:H3"/>
    <mergeCell ref="I3:J3"/>
    <mergeCell ref="K3:L3"/>
    <mergeCell ref="E3:F3"/>
    <mergeCell ref="K4:L4"/>
    <mergeCell ref="I4:J4"/>
    <mergeCell ref="C4:D4"/>
    <mergeCell ref="E4:F4"/>
    <mergeCell ref="G4:H4"/>
    <mergeCell ref="J64:J65"/>
    <mergeCell ref="A6:B6"/>
    <mergeCell ref="A3:B4"/>
    <mergeCell ref="A5:B5"/>
    <mergeCell ref="A64:A65"/>
    <mergeCell ref="E64:E65"/>
    <mergeCell ref="F64:F65"/>
    <mergeCell ref="I64:I65"/>
    <mergeCell ref="C64:C65"/>
    <mergeCell ref="D64:D65"/>
  </mergeCells>
  <hyperlinks>
    <hyperlink ref="K32" r:id="rId1" display="=@Sum(L37:L39)"/>
    <hyperlink ref="C32" r:id="rId2" display="=@Sum(L37:L39)"/>
    <hyperlink ref="I32" r:id="rId3" display="=@Sum(L37:L39)"/>
  </hyperlinks>
  <printOptions horizontalCentered="1"/>
  <pageMargins left="0.5" right="0.5" top="0.49" bottom="0.67" header="0.21" footer="0.18"/>
  <pageSetup fitToHeight="3" horizontalDpi="300" verticalDpi="300" orientation="landscape" paperSize="9" scale="93" r:id="rId6"/>
  <headerFooter alignWithMargins="0">
    <oddHeader>&amp;L&amp;14MIS-2&amp;C&amp;14Page &amp;P of &amp;N&amp;RMay 2008</oddHeader>
    <oddFooter>&amp;C&amp;14Company Name
</oddFooter>
  </headerFooter>
  <rowBreaks count="1" manualBreakCount="1">
    <brk id="36" max="11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Vijayji</dc:creator>
  <cp:keywords/>
  <dc:description/>
  <cp:lastModifiedBy>pioneer</cp:lastModifiedBy>
  <cp:lastPrinted>2008-07-04T13:24:13Z</cp:lastPrinted>
  <dcterms:created xsi:type="dcterms:W3CDTF">2004-05-21T11:22:40Z</dcterms:created>
  <dcterms:modified xsi:type="dcterms:W3CDTF">2008-07-04T13:24:28Z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