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20" windowHeight="4710" tabRatio="927" activeTab="7"/>
  </bookViews>
  <sheets>
    <sheet name="challan detail" sheetId="1" r:id="rId1"/>
    <sheet name="PF-DATA" sheetId="2" r:id="rId2"/>
    <sheet name="ESI-DATA" sheetId="3" r:id="rId3"/>
    <sheet name="PF CHALLAN (2)" sheetId="4" r:id="rId4"/>
    <sheet name="PF CHALLAN" sheetId="5" r:id="rId5"/>
    <sheet name="ESI -CHALLAN" sheetId="6" r:id="rId6"/>
    <sheet name="12- A CHALLAN" sheetId="7" r:id="rId7"/>
    <sheet name="DAMAGE CHALLAN" sheetId="8" r:id="rId8"/>
  </sheets>
  <definedNames>
    <definedName name="_xlnm.Print_Area" localSheetId="6">'12- A CHALLAN'!$B$2:$P$39</definedName>
    <definedName name="_xlnm.Print_Area" localSheetId="0">'challan detail'!$B$3:$L$72</definedName>
    <definedName name="_xlnm.Print_Area" localSheetId="7">'DAMAGE CHALLAN'!$B$4:$AS$54</definedName>
    <definedName name="_xlnm.Print_Area" localSheetId="4">'PF CHALLAN'!$B$4:$AS$54</definedName>
    <definedName name="_xlnm.Print_Area" localSheetId="3">'PF CHALLAN (2)'!$B$4:$AS$54</definedName>
  </definedNames>
  <calcPr fullCalcOnLoad="1"/>
</workbook>
</file>

<file path=xl/comments2.xml><?xml version="1.0" encoding="utf-8"?>
<comments xmlns="http://schemas.openxmlformats.org/spreadsheetml/2006/main">
  <authors>
    <author>Default</author>
  </authors>
  <commentList>
    <comment ref="S9" authorId="0">
      <text>
        <r>
          <rPr>
            <sz val="8"/>
            <rFont val="Tahoma"/>
            <family val="0"/>
          </rPr>
          <t>THIS AMOUNT IS DEPOSITED AGAINST THE ARRER OF MR. SURENDER (PR-426) FOR THE MONTH OF OCTOBER 2003, AS IN THE F&amp;F ESI &amp; PF IS SHOWN, BUT AT THE TIME OF DEPOSIT COMPUTER HAS NOT TAKEN HIS DEDUCTION FOR CALCULATION OF PF. MONTHLY CHALLAN DEPOSIT.</t>
        </r>
      </text>
    </comment>
  </commentList>
</comments>
</file>

<file path=xl/sharedStrings.xml><?xml version="1.0" encoding="utf-8"?>
<sst xmlns="http://schemas.openxmlformats.org/spreadsheetml/2006/main" count="523" uniqueCount="305">
  <si>
    <t>AD</t>
  </si>
  <si>
    <t>PR</t>
  </si>
  <si>
    <t>CH</t>
  </si>
  <si>
    <t>SALARY</t>
  </si>
  <si>
    <t>V.P.F.</t>
  </si>
  <si>
    <t>P.F.</t>
  </si>
  <si>
    <t>TOTAL</t>
  </si>
  <si>
    <t>STRENGTH</t>
  </si>
  <si>
    <t>OPEN</t>
  </si>
  <si>
    <t>LEFT</t>
  </si>
  <si>
    <t>CLOSING</t>
  </si>
  <si>
    <t>A/C 1</t>
  </si>
  <si>
    <t>A/C 2</t>
  </si>
  <si>
    <t>A/C 10</t>
  </si>
  <si>
    <t>A/C 21</t>
  </si>
  <si>
    <t>A/C 22</t>
  </si>
  <si>
    <t>JOINING</t>
  </si>
  <si>
    <t>ROUND-OFF</t>
  </si>
  <si>
    <t>DEPT</t>
  </si>
  <si>
    <t>UNIT</t>
  </si>
  <si>
    <t>875 -------&gt;</t>
  </si>
  <si>
    <t>192 -------&gt;</t>
  </si>
  <si>
    <t>EMPL</t>
  </si>
  <si>
    <t>Total of  Unit -- 875 &amp; 192</t>
  </si>
  <si>
    <t>Total of 875 &amp; 192</t>
  </si>
  <si>
    <t>192 ----&gt;</t>
  </si>
  <si>
    <t>875 ----&gt;</t>
  </si>
  <si>
    <t>OPEN /BAL</t>
  </si>
  <si>
    <t>JOIN</t>
  </si>
  <si>
    <t>Please make cheque for</t>
  </si>
  <si>
    <t>STATE BANK OF INDIA</t>
  </si>
  <si>
    <t>(USE SEPARATE CHALLAN FOR EACH MONTH)</t>
  </si>
  <si>
    <t>DUES FOR THE MONTH OF:</t>
  </si>
  <si>
    <t>DATE OF PAYMENT</t>
  </si>
  <si>
    <t>D</t>
  </si>
  <si>
    <t>M</t>
  </si>
  <si>
    <t>TOTAL NO. OF SUBSCRIBERS</t>
  </si>
  <si>
    <t>Y</t>
  </si>
  <si>
    <t>TOTAL WAGES DUE</t>
  </si>
  <si>
    <t>A/c 1</t>
  </si>
  <si>
    <t>A/c 10</t>
  </si>
  <si>
    <t>A/c 21</t>
  </si>
  <si>
    <t>SL.</t>
  </si>
  <si>
    <t>PARTICULARS</t>
  </si>
  <si>
    <t>A/C No. 1</t>
  </si>
  <si>
    <t>A/C No 2.</t>
  </si>
  <si>
    <t>A/C No. 21</t>
  </si>
  <si>
    <t>A/C No.22</t>
  </si>
  <si>
    <t>EMPLOYER'S SHARE OF CONT.</t>
  </si>
  <si>
    <t>ADM. CHARGES</t>
  </si>
  <si>
    <t>INSP. CHARGES</t>
  </si>
  <si>
    <t>PENAL DAMAGES</t>
  </si>
  <si>
    <t>MISC. PAYMENT (PAST</t>
  </si>
  <si>
    <t>ACCUMULATIONS ONLY)</t>
  </si>
  <si>
    <t>GURGAON, HARAYANA.</t>
  </si>
  <si>
    <t>(TO BE FILLED IN BY EMPLOYER)</t>
  </si>
  <si>
    <t>[FOR BANK'S USE ONLY]</t>
  </si>
  <si>
    <t>Employees Share</t>
  </si>
  <si>
    <t>Employer Share</t>
  </si>
  <si>
    <t>NAME OF DEPOSITOR ……………………………..………………………………….</t>
  </si>
  <si>
    <t>SIGNATURE OF THE DEPOSITOR ………………...…………………………………</t>
  </si>
  <si>
    <t>AMOUNT RECEIVED Rs……...………..………..</t>
  </si>
  <si>
    <t>DATE OF PRESENTATION………....……….…..</t>
  </si>
  <si>
    <t>DATE OF REALISATION ……………..………….</t>
  </si>
  <si>
    <t>BRANCH NAME …….……...…….…...…………..</t>
  </si>
  <si>
    <t>BRANCH CODE NO………….….………………..</t>
  </si>
  <si>
    <t>FOR CHEQUES ONLY….………………………..</t>
  </si>
  <si>
    <t xml:space="preserve">EMPLOYEE'S PROVIDENT FUND ORGANISATION       </t>
  </si>
  <si>
    <t xml:space="preserve">COMBINED CHALLAN OF A/C No. 1,2,10,21 &amp; 22         </t>
  </si>
  <si>
    <t>MONTH</t>
  </si>
  <si>
    <t>YEAR</t>
  </si>
  <si>
    <t>EM'EE</t>
  </si>
  <si>
    <t>WAGES</t>
  </si>
  <si>
    <t>ENTER MONTH :</t>
  </si>
  <si>
    <t>open</t>
  </si>
  <si>
    <t>join</t>
  </si>
  <si>
    <t>left</t>
  </si>
  <si>
    <t>close</t>
  </si>
  <si>
    <t xml:space="preserve">  A/C No. 10</t>
  </si>
  <si>
    <t xml:space="preserve">    TOTAL</t>
  </si>
  <si>
    <t>Pension Fund A/c No. 10</t>
  </si>
  <si>
    <t>Details of Subscribers</t>
  </si>
  <si>
    <t>(Nett.) Total No. of Subscriber</t>
  </si>
  <si>
    <t>E.P.F.</t>
  </si>
  <si>
    <t>Pension Fund</t>
  </si>
  <si>
    <t>E.D.L.I.</t>
  </si>
  <si>
    <t xml:space="preserve">ADDRESS:                                                       </t>
  </si>
  <si>
    <r>
      <t xml:space="preserve">…………….…….      </t>
    </r>
    <r>
      <rPr>
        <sz val="8"/>
        <rFont val="Arial"/>
        <family val="2"/>
      </rPr>
      <t xml:space="preserve"> AMOUNT     (</t>
    </r>
    <r>
      <rPr>
        <sz val="7"/>
        <rFont val="Arial"/>
        <family val="2"/>
      </rPr>
      <t>IN RUPEES</t>
    </r>
    <r>
      <rPr>
        <sz val="8"/>
        <rFont val="Arial"/>
        <family val="2"/>
      </rPr>
      <t>)</t>
    </r>
    <r>
      <rPr>
        <sz val="9"/>
        <rFont val="Arial"/>
        <family val="2"/>
      </rPr>
      <t xml:space="preserve">      ………...…………</t>
    </r>
  </si>
  <si>
    <r>
      <t xml:space="preserve">(AMOUNT IN WORDS) </t>
    </r>
    <r>
      <rPr>
        <b/>
        <sz val="9"/>
        <rFont val="Arial"/>
        <family val="2"/>
      </rPr>
      <t>Rs.</t>
    </r>
  </si>
  <si>
    <t>BANK</t>
  </si>
  <si>
    <t>CHEQUE</t>
  </si>
  <si>
    <t>DT OF CHEQUE</t>
  </si>
  <si>
    <t>DATE OF REMITANCE</t>
  </si>
  <si>
    <t>VLOOKUP($H$2,DATA!$A$3:$AM$15,18,0)</t>
  </si>
  <si>
    <t>CHEQUE NO</t>
  </si>
  <si>
    <t>DATE</t>
  </si>
  <si>
    <t>--------------------------</t>
  </si>
  <si>
    <t>--------</t>
  </si>
  <si>
    <t>NAME OF THE BANK -------------</t>
  </si>
  <si>
    <r>
      <t xml:space="preserve">ESTABLISHMENT CODE NO.    </t>
    </r>
    <r>
      <rPr>
        <u val="single"/>
        <sz val="9"/>
        <rFont val="Arial"/>
        <family val="2"/>
      </rPr>
      <t xml:space="preserve">    </t>
    </r>
    <r>
      <rPr>
        <u val="single"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HR / FD / 10381</t>
    </r>
    <r>
      <rPr>
        <b/>
        <u val="single"/>
        <sz val="9"/>
        <rFont val="Arial"/>
        <family val="2"/>
      </rPr>
      <t xml:space="preserve">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ACCOUNT GROUP NO    ………...……       PAID BY CHEQUE / CASH     ……………..………</t>
    </r>
  </si>
  <si>
    <t>Vide your Letter no HR / GGN / Circle: 1 / HR / 10381 / CA / 8050    Dt. 19-11-2003  under section 7Q and 14B</t>
  </si>
  <si>
    <t>EMPLOYEE'S SHARE OF CONT.</t>
  </si>
  <si>
    <t>E.S.I.C.</t>
  </si>
  <si>
    <t>EMPLOYEE'S STATE INSURANCE FUND ACCOUNT NO.01</t>
  </si>
  <si>
    <t>PAY-IN-SLIP FOR CONTRIBUTION</t>
  </si>
  <si>
    <t>Particulars of Cash / Cheque</t>
  </si>
  <si>
    <t>Rs. P.</t>
  </si>
  <si>
    <t>Employee's Contribution Rs.</t>
  </si>
  <si>
    <t>Employer's  Contribution Rs.</t>
  </si>
  <si>
    <t xml:space="preserve">Employer's Code No </t>
  </si>
  <si>
    <t>:</t>
  </si>
  <si>
    <t xml:space="preserve">          Total Contribution Rs.</t>
  </si>
  <si>
    <t>(For use in Bank)</t>
  </si>
  <si>
    <t>ACKNOWLEDGEMENT</t>
  </si>
  <si>
    <t>(To be filled by depositor)</t>
  </si>
  <si>
    <t xml:space="preserve">drawn in </t>
  </si>
  <si>
    <t>in favour of Employee's</t>
  </si>
  <si>
    <t>State Insurance Fund Account No.01 Sl. No. in Bank's Scroll ………</t>
  </si>
  <si>
    <t>Dated: …………………</t>
  </si>
  <si>
    <t xml:space="preserve">Authorised Signatory </t>
  </si>
  <si>
    <t>of the receiving Bank</t>
  </si>
  <si>
    <t>Name &amp; Address of Factory / Establishment</t>
  </si>
  <si>
    <t>Date</t>
  </si>
  <si>
    <t>ESI STRENGH</t>
  </si>
  <si>
    <t>ESI-WAGE</t>
  </si>
  <si>
    <t>E'ER CONTRI</t>
  </si>
  <si>
    <t>E'EE CONTRI</t>
  </si>
  <si>
    <t>TLT-CONTRI</t>
  </si>
  <si>
    <t>DECEMBER '2003</t>
  </si>
  <si>
    <t>JANUARY ' 2004</t>
  </si>
  <si>
    <t>FEBURARY ' 2004</t>
  </si>
  <si>
    <t>MARCH ' 2004</t>
  </si>
  <si>
    <t>APRIL ' 2004</t>
  </si>
  <si>
    <t>MAY ' 2004</t>
  </si>
  <si>
    <t>JUNE ' 2004</t>
  </si>
  <si>
    <t>Dt. Of Cheque</t>
  </si>
  <si>
    <t>bank</t>
  </si>
  <si>
    <t>State Bank of India</t>
  </si>
  <si>
    <t>Challan No. ……..</t>
  </si>
  <si>
    <t>Deposited By</t>
  </si>
  <si>
    <t>No. of Employee's         :</t>
  </si>
  <si>
    <t xml:space="preserve">Total  Wages                 : </t>
  </si>
  <si>
    <t>JULY ' 2004</t>
  </si>
  <si>
    <t>AUGUST ' 2004</t>
  </si>
  <si>
    <t>SEPTEMBER ' 2004</t>
  </si>
  <si>
    <t>OCTOBER ' 2004</t>
  </si>
  <si>
    <t>NOVERMBER ' 2004</t>
  </si>
  <si>
    <t>DECEMBER '2004</t>
  </si>
  <si>
    <t>Wages on which Contributions are Payable</t>
  </si>
  <si>
    <t>Recovered from the Workers</t>
  </si>
  <si>
    <t>Payable by the Employer</t>
  </si>
  <si>
    <t>Worker's Share</t>
  </si>
  <si>
    <t>Employer's Share</t>
  </si>
  <si>
    <t>Amount of Administrative Charges Due</t>
  </si>
  <si>
    <t>Amount of Administrative Charges Remitted</t>
  </si>
  <si>
    <t>Amount of Contribtion</t>
  </si>
  <si>
    <t>Amount of contribution Remitted</t>
  </si>
  <si>
    <t>Total No. of Employee's</t>
  </si>
  <si>
    <t>No. of subscribers as per last month</t>
  </si>
  <si>
    <t>No. of New subscribers (Vide Form 5)</t>
  </si>
  <si>
    <t>No. of subscribers left service (Vide Form 10)</t>
  </si>
  <si>
    <t>E.P.F. A/c No.01</t>
  </si>
  <si>
    <t>D.L.I. A/c No. 21</t>
  </si>
  <si>
    <t>[Paragraph 20(4)]</t>
  </si>
  <si>
    <t>Employees' Pension Scheme</t>
  </si>
  <si>
    <t>Employees' Provident Fund and Miscllaneous Provisions Act, 1952</t>
  </si>
  <si>
    <t>FORM 12 - A ( REVISED)</t>
  </si>
  <si>
    <t>Name &amp; Address of the Establishment</t>
  </si>
  <si>
    <t>Name &amp; Address of the Bank in which the amount is remitted</t>
  </si>
  <si>
    <t>Dundahera, Gurgaon</t>
  </si>
  <si>
    <t>Harayana - 122016</t>
  </si>
  <si>
    <t>NIL</t>
  </si>
  <si>
    <r>
      <t>( b )</t>
    </r>
    <r>
      <rPr>
        <sz val="10"/>
        <rFont val="Verdana"/>
        <family val="2"/>
      </rPr>
      <t xml:space="preserve"> Rest</t>
    </r>
  </si>
  <si>
    <r>
      <t xml:space="preserve">Statutory rate of contribution - </t>
    </r>
    <r>
      <rPr>
        <b/>
        <sz val="9"/>
        <rFont val="Verdana"/>
        <family val="2"/>
      </rPr>
      <t>12%</t>
    </r>
  </si>
  <si>
    <t>Signature of the Employer with official (Seal)</t>
  </si>
  <si>
    <r>
      <t>( a )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Contract</t>
    </r>
  </si>
  <si>
    <r>
      <t>( c )</t>
    </r>
    <r>
      <rPr>
        <b/>
        <i/>
        <sz val="10"/>
        <rFont val="Verdana"/>
        <family val="2"/>
      </rPr>
      <t xml:space="preserve"> </t>
    </r>
    <r>
      <rPr>
        <b/>
        <sz val="10"/>
        <rFont val="Verdana"/>
        <family val="2"/>
      </rPr>
      <t>Total</t>
    </r>
  </si>
  <si>
    <t>439997</t>
  </si>
  <si>
    <t>NOVERMBER ' 2003</t>
  </si>
  <si>
    <t>SEPTEMBER ' 2003</t>
  </si>
  <si>
    <t>OCTOBER ' 2003</t>
  </si>
  <si>
    <r>
      <t>Code No</t>
    </r>
    <r>
      <rPr>
        <sz val="9"/>
        <rFont val="Verdana"/>
        <family val="2"/>
      </rPr>
      <t>.</t>
    </r>
    <r>
      <rPr>
        <b/>
        <sz val="10"/>
        <rFont val="Verdana"/>
        <family val="2"/>
      </rPr>
      <t xml:space="preserve"> </t>
    </r>
    <r>
      <rPr>
        <b/>
        <sz val="11"/>
        <rFont val="Verdana"/>
        <family val="2"/>
      </rPr>
      <t>HR / FD / 10381</t>
    </r>
  </si>
  <si>
    <t>Date of Remittance (Enclose Triplicate copies of Challan)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</si>
  <si>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</si>
  <si>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</si>
  <si>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</si>
  <si>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</si>
  <si>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</si>
  <si>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</si>
  <si>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</si>
  <si>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</si>
  <si>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</si>
  <si>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</si>
  <si>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</si>
  <si>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</si>
  <si>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</si>
  <si>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</si>
  <si>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</si>
  <si>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</si>
  <si>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</si>
  <si>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</si>
  <si>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</si>
  <si>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</si>
  <si>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</si>
  <si>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</si>
  <si>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</si>
  <si>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</si>
  <si>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</si>
  <si>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</si>
  <si>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</si>
  <si>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pf</t>
  </si>
  <si>
    <t>esi</t>
  </si>
  <si>
    <t>Twentyone</t>
  </si>
  <si>
    <t>Twentytwo</t>
  </si>
  <si>
    <t>Twentythree</t>
  </si>
  <si>
    <t>Twentyfour</t>
  </si>
  <si>
    <t>Twentyfive</t>
  </si>
  <si>
    <t>Twentysix</t>
  </si>
  <si>
    <t>Twentyseven</t>
  </si>
  <si>
    <t>Twentyeight</t>
  </si>
  <si>
    <t>Twentynine</t>
  </si>
  <si>
    <t>Thirtyone</t>
  </si>
  <si>
    <t>Thirtytwo</t>
  </si>
  <si>
    <t>Thirtythree</t>
  </si>
  <si>
    <t>Thirtyfour</t>
  </si>
  <si>
    <t>Thirtyfive</t>
  </si>
  <si>
    <t>Thirtysix</t>
  </si>
  <si>
    <t>Thirtyseven</t>
  </si>
  <si>
    <t>Thirtyeight</t>
  </si>
  <si>
    <t>Thirtynine</t>
  </si>
  <si>
    <t>Fortyone</t>
  </si>
  <si>
    <t>Fortytwo</t>
  </si>
  <si>
    <t>Fortythree</t>
  </si>
  <si>
    <t>Fortyfour</t>
  </si>
  <si>
    <t>Fortyfive</t>
  </si>
  <si>
    <t>Fortysix</t>
  </si>
  <si>
    <t>Fortyseven</t>
  </si>
  <si>
    <t>Fortyeight</t>
  </si>
  <si>
    <t>Fortynine</t>
  </si>
  <si>
    <t>Fiftyone</t>
  </si>
  <si>
    <t>Fiftytwo</t>
  </si>
  <si>
    <t>Fiftythree</t>
  </si>
  <si>
    <t>Fiftyfour</t>
  </si>
  <si>
    <t>Fiftyfive</t>
  </si>
  <si>
    <t>Fiftysix</t>
  </si>
  <si>
    <t>Fiftyseven</t>
  </si>
  <si>
    <t>Fiftyeight</t>
  </si>
  <si>
    <t>Fiftynine</t>
  </si>
  <si>
    <t>Sixtyone</t>
  </si>
  <si>
    <t>Sixtytwo</t>
  </si>
  <si>
    <t>Sixtythree</t>
  </si>
  <si>
    <t>Sixtyfour</t>
  </si>
  <si>
    <t>Sixtyfive</t>
  </si>
  <si>
    <t>Sixtysix</t>
  </si>
  <si>
    <t>Sixtyseven</t>
  </si>
  <si>
    <t>Sixtyeight</t>
  </si>
  <si>
    <t>Sixtynine</t>
  </si>
  <si>
    <t>Seventyone</t>
  </si>
  <si>
    <t>Seventytwo</t>
  </si>
  <si>
    <t>Seventythree</t>
  </si>
  <si>
    <t>Seventyfour</t>
  </si>
  <si>
    <t>Seventyfive</t>
  </si>
  <si>
    <t>Seventysix</t>
  </si>
  <si>
    <t>Seventyseven</t>
  </si>
  <si>
    <t>Seventyeight</t>
  </si>
  <si>
    <t>Seventynine</t>
  </si>
  <si>
    <t>Eightyone</t>
  </si>
  <si>
    <t>Eightytwo</t>
  </si>
  <si>
    <t>Eightythree</t>
  </si>
  <si>
    <t>Eightyfour</t>
  </si>
  <si>
    <t>Eightyfive</t>
  </si>
  <si>
    <t>Eightysix</t>
  </si>
  <si>
    <t>Eightyseven</t>
  </si>
  <si>
    <t>Eightyeight</t>
  </si>
  <si>
    <t>Eightynine</t>
  </si>
  <si>
    <t>Ninetyone</t>
  </si>
  <si>
    <t>Ninetytwo</t>
  </si>
  <si>
    <t>Ninetythree</t>
  </si>
  <si>
    <t>Ninetyfour</t>
  </si>
  <si>
    <t>Ninetyfive</t>
  </si>
  <si>
    <t>Ninetysix</t>
  </si>
  <si>
    <t>Ninetyseven</t>
  </si>
  <si>
    <t>Ninetyeight</t>
  </si>
  <si>
    <t>Ninetynine</t>
  </si>
  <si>
    <t xml:space="preserve">(AMOUNT IN WORDS) </t>
  </si>
  <si>
    <t>Security Guards covered under code no. DL-5431 M/s S.D.S. Security Pvt. Ltd.</t>
  </si>
  <si>
    <t>arr1</t>
  </si>
  <si>
    <t>ARR OF OCTOBER' 2003</t>
  </si>
  <si>
    <t>SUS. ALLW.</t>
  </si>
  <si>
    <t>ARR (-)</t>
  </si>
  <si>
    <r>
      <t xml:space="preserve">Currency Period from </t>
    </r>
    <r>
      <rPr>
        <b/>
        <sz val="10"/>
        <rFont val="Verdana"/>
        <family val="2"/>
      </rPr>
      <t>1</t>
    </r>
    <r>
      <rPr>
        <b/>
        <vertAlign val="superscript"/>
        <sz val="10"/>
        <rFont val="Verdana"/>
        <family val="2"/>
      </rPr>
      <t>st</t>
    </r>
    <r>
      <rPr>
        <b/>
        <sz val="10"/>
        <rFont val="Verdana"/>
        <family val="2"/>
      </rPr>
      <t xml:space="preserve"> April 2004</t>
    </r>
    <r>
      <rPr>
        <sz val="10"/>
        <rFont val="Verdana"/>
        <family val="2"/>
      </rPr>
      <t xml:space="preserve"> to</t>
    </r>
    <r>
      <rPr>
        <b/>
        <sz val="10"/>
        <rFont val="Verdana"/>
        <family val="2"/>
      </rPr>
      <t xml:space="preserve"> 31</t>
    </r>
    <r>
      <rPr>
        <b/>
        <vertAlign val="superscript"/>
        <sz val="10"/>
        <rFont val="Verdana"/>
        <family val="2"/>
      </rPr>
      <t>st</t>
    </r>
    <r>
      <rPr>
        <b/>
        <sz val="10"/>
        <rFont val="Verdana"/>
        <family val="2"/>
      </rPr>
      <t xml:space="preserve"> March 2005</t>
    </r>
  </si>
  <si>
    <t>TW</t>
  </si>
  <si>
    <t>GURGAON, HARYANA - 122016</t>
  </si>
  <si>
    <r>
      <t xml:space="preserve">MANOJKUMAR            </t>
    </r>
    <r>
      <rPr>
        <sz val="12"/>
        <rFont val="BrodyD"/>
        <family val="4"/>
      </rPr>
      <t xml:space="preserve"> </t>
    </r>
    <r>
      <rPr>
        <sz val="12"/>
        <rFont val="Univers Condensed"/>
        <family val="2"/>
      </rPr>
      <t>E.S.I. STATEMENT FOR THE MONTH OF SEPTEMBER 2004</t>
    </r>
  </si>
  <si>
    <r>
      <t xml:space="preserve">MANOJ         KUMAR   </t>
    </r>
    <r>
      <rPr>
        <sz val="12"/>
        <rFont val="Univers Condensed"/>
        <family val="2"/>
      </rPr>
      <t>P.F. STATEMENT FOR THE MONTH OF SEPTEMBER 2004</t>
    </r>
  </si>
  <si>
    <t>DECEMBER '2007</t>
  </si>
  <si>
    <t>JANUARY ' 2007</t>
  </si>
  <si>
    <t>NAME OF ESTABLISHMENT:                      MANOJ KUMAR</t>
  </si>
  <si>
    <t>M/s MANOJ  KUMAR</t>
  </si>
  <si>
    <t>Station : Gurgaon</t>
  </si>
  <si>
    <t xml:space="preserve">Rupees:Forty six thousand eight hundred eight only) </t>
  </si>
  <si>
    <t xml:space="preserve">in Cash / by Cheque (on realisation) for Payment of Contribution as per details given below under the Employee's State Insurance Act,1948 for the </t>
  </si>
  <si>
    <t>Received Payment by Cash / Cheque / Draft No. 529544 Dated:  04/08/2007  for Rupees. Twelve thousand three hundred forty four only)</t>
  </si>
  <si>
    <t xml:space="preserve">NAME OF ESTABLISHMENT:                     </t>
  </si>
  <si>
    <r>
      <t xml:space="preserve">ESTABLISHMENT CODE NO.    </t>
    </r>
    <r>
      <rPr>
        <u val="single"/>
        <sz val="9"/>
        <rFont val="Arial"/>
        <family val="2"/>
      </rPr>
      <t xml:space="preserve">    </t>
    </r>
    <r>
      <rPr>
        <u val="single"/>
        <sz val="11"/>
        <rFont val="Arial"/>
        <family val="2"/>
      </rPr>
      <t xml:space="preserve">              </t>
    </r>
    <r>
      <rPr>
        <b/>
        <u val="single"/>
        <sz val="9"/>
        <rFont val="Arial"/>
        <family val="2"/>
      </rPr>
      <t xml:space="preserve">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ACCOUNT GROUP NO    ………...……       PAID BY CHEQUE / CASH     ……………..………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</si>
</sst>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###,##0"/>
    <numFmt numFmtId="168" formatCode="00000"/>
    <numFmt numFmtId="169" formatCode="dd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sz val="12"/>
      <name val="BrodyD"/>
      <family val="4"/>
    </font>
    <font>
      <sz val="10"/>
      <name val="BrodyD"/>
      <family val="4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7"/>
      <name val="Arial"/>
      <family val="2"/>
    </font>
    <font>
      <b/>
      <sz val="12"/>
      <name val="Letter Gothic"/>
      <family val="3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vertAlign val="superscript"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10"/>
      <color indexed="9"/>
      <name val="Arial"/>
      <family val="2"/>
    </font>
    <font>
      <u val="single"/>
      <sz val="9"/>
      <name val="Verdana"/>
      <family val="2"/>
    </font>
    <font>
      <sz val="8"/>
      <name val="Tahoma"/>
      <family val="0"/>
    </font>
    <font>
      <sz val="8"/>
      <name val="Eurostar"/>
      <family val="2"/>
    </font>
    <font>
      <sz val="10"/>
      <color indexed="19"/>
      <name val="Arial"/>
      <family val="2"/>
    </font>
    <font>
      <b/>
      <sz val="10"/>
      <color indexed="19"/>
      <name val="Arial"/>
      <family val="2"/>
    </font>
    <font>
      <sz val="11"/>
      <color indexed="1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Univers Condense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5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/>
    </xf>
    <xf numFmtId="0" fontId="1" fillId="6" borderId="0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0" fillId="6" borderId="0" xfId="0" applyFill="1" applyBorder="1" applyAlignment="1">
      <alignment vertical="center"/>
    </xf>
    <xf numFmtId="0" fontId="1" fillId="6" borderId="0" xfId="0" applyFont="1" applyFill="1" applyBorder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2" fillId="6" borderId="0" xfId="0" applyFont="1" applyFill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0" fillId="7" borderId="0" xfId="0" applyFill="1" applyBorder="1" applyAlignment="1">
      <alignment/>
    </xf>
    <xf numFmtId="0" fontId="1" fillId="7" borderId="0" xfId="0" applyFont="1" applyFill="1" applyBorder="1" applyAlignment="1">
      <alignment/>
    </xf>
    <xf numFmtId="0" fontId="1" fillId="7" borderId="0" xfId="0" applyFont="1" applyFill="1" applyBorder="1" applyAlignment="1">
      <alignment horizontal="left"/>
    </xf>
    <xf numFmtId="0" fontId="1" fillId="7" borderId="18" xfId="0" applyFont="1" applyFill="1" applyBorder="1" applyAlignment="1">
      <alignment/>
    </xf>
    <xf numFmtId="0" fontId="2" fillId="7" borderId="19" xfId="0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20" xfId="0" applyFill="1" applyBorder="1" applyAlignment="1">
      <alignment/>
    </xf>
    <xf numFmtId="0" fontId="2" fillId="7" borderId="20" xfId="0" applyFont="1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 horizontal="center"/>
    </xf>
    <xf numFmtId="0" fontId="2" fillId="8" borderId="0" xfId="0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1" fillId="8" borderId="0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0" fontId="0" fillId="8" borderId="0" xfId="0" applyFill="1" applyBorder="1" applyAlignment="1">
      <alignment vertical="center"/>
    </xf>
    <xf numFmtId="0" fontId="1" fillId="8" borderId="0" xfId="0" applyFont="1" applyFill="1" applyAlignment="1">
      <alignment/>
    </xf>
    <xf numFmtId="0" fontId="1" fillId="8" borderId="0" xfId="0" applyFont="1" applyFill="1" applyBorder="1" applyAlignment="1">
      <alignment/>
    </xf>
    <xf numFmtId="0" fontId="2" fillId="8" borderId="0" xfId="0" applyFont="1" applyFill="1" applyAlignment="1">
      <alignment/>
    </xf>
    <xf numFmtId="0" fontId="1" fillId="8" borderId="0" xfId="0" applyFont="1" applyFill="1" applyBorder="1" applyAlignment="1">
      <alignment horizontal="center"/>
    </xf>
    <xf numFmtId="2" fontId="1" fillId="8" borderId="0" xfId="0" applyNumberFormat="1" applyFont="1" applyFill="1" applyBorder="1" applyAlignment="1">
      <alignment vertical="center"/>
    </xf>
    <xf numFmtId="2" fontId="1" fillId="8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5" borderId="1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5" borderId="16" xfId="0" applyFont="1" applyFill="1" applyBorder="1" applyAlignment="1">
      <alignment horizontal="center"/>
    </xf>
    <xf numFmtId="49" fontId="2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4" fontId="2" fillId="5" borderId="16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/>
    </xf>
    <xf numFmtId="0" fontId="3" fillId="0" borderId="0" xfId="0" applyFont="1" applyBorder="1" applyAlignment="1" quotePrefix="1">
      <alignment vertical="center"/>
    </xf>
    <xf numFmtId="14" fontId="3" fillId="0" borderId="0" xfId="0" applyNumberFormat="1" applyFont="1" applyAlignment="1">
      <alignment vertical="center"/>
    </xf>
    <xf numFmtId="169" fontId="3" fillId="0" borderId="0" xfId="0" applyNumberFormat="1" applyFont="1" applyAlignment="1">
      <alignment vertical="center"/>
    </xf>
    <xf numFmtId="0" fontId="1" fillId="0" borderId="32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35" xfId="0" applyFont="1" applyBorder="1" applyAlignment="1">
      <alignment/>
    </xf>
    <xf numFmtId="0" fontId="1" fillId="9" borderId="0" xfId="0" applyFont="1" applyFill="1" applyAlignment="1">
      <alignment/>
    </xf>
    <xf numFmtId="0" fontId="2" fillId="9" borderId="16" xfId="0" applyFont="1" applyFill="1" applyBorder="1" applyAlignment="1">
      <alignment/>
    </xf>
    <xf numFmtId="49" fontId="2" fillId="9" borderId="16" xfId="0" applyNumberFormat="1" applyFont="1" applyFill="1" applyBorder="1" applyAlignment="1">
      <alignment/>
    </xf>
    <xf numFmtId="14" fontId="2" fillId="9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8" borderId="38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1" fontId="1" fillId="5" borderId="16" xfId="0" applyNumberFormat="1" applyFont="1" applyFill="1" applyBorder="1" applyAlignment="1">
      <alignment horizontal="center" vertical="center"/>
    </xf>
    <xf numFmtId="1" fontId="1" fillId="10" borderId="16" xfId="0" applyNumberFormat="1" applyFont="1" applyFill="1" applyBorder="1" applyAlignment="1">
      <alignment horizontal="center" vertical="center"/>
    </xf>
    <xf numFmtId="1" fontId="1" fillId="9" borderId="16" xfId="0" applyNumberFormat="1" applyFont="1" applyFill="1" applyBorder="1" applyAlignment="1">
      <alignment horizontal="center" vertical="center"/>
    </xf>
    <xf numFmtId="2" fontId="1" fillId="10" borderId="16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39" xfId="0" applyFont="1" applyBorder="1" applyAlignment="1">
      <alignment/>
    </xf>
    <xf numFmtId="0" fontId="1" fillId="0" borderId="1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2" fillId="5" borderId="40" xfId="0" applyFont="1" applyFill="1" applyBorder="1" applyAlignment="1">
      <alignment vertical="center" wrapText="1"/>
    </xf>
    <xf numFmtId="0" fontId="22" fillId="0" borderId="3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2" fillId="0" borderId="33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vertical="center" wrapText="1"/>
    </xf>
    <xf numFmtId="0" fontId="22" fillId="5" borderId="43" xfId="0" applyFont="1" applyFill="1" applyBorder="1" applyAlignment="1">
      <alignment vertical="center" wrapText="1"/>
    </xf>
    <xf numFmtId="0" fontId="22" fillId="5" borderId="42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 wrapText="1"/>
    </xf>
    <xf numFmtId="0" fontId="24" fillId="0" borderId="45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5" borderId="18" xfId="0" applyFont="1" applyFill="1" applyBorder="1" applyAlignment="1">
      <alignment vertical="center"/>
    </xf>
    <xf numFmtId="0" fontId="22" fillId="5" borderId="19" xfId="0" applyFont="1" applyFill="1" applyBorder="1" applyAlignment="1">
      <alignment vertical="center"/>
    </xf>
    <xf numFmtId="0" fontId="22" fillId="5" borderId="37" xfId="0" applyFont="1" applyFill="1" applyBorder="1" applyAlignment="1">
      <alignment vertical="center"/>
    </xf>
    <xf numFmtId="0" fontId="22" fillId="5" borderId="38" xfId="0" applyFont="1" applyFill="1" applyBorder="1" applyAlignment="1">
      <alignment horizontal="center" vertical="center"/>
    </xf>
    <xf numFmtId="0" fontId="22" fillId="5" borderId="34" xfId="0" applyFont="1" applyFill="1" applyBorder="1" applyAlignment="1">
      <alignment vertical="center"/>
    </xf>
    <xf numFmtId="0" fontId="22" fillId="5" borderId="44" xfId="0" applyFont="1" applyFill="1" applyBorder="1" applyAlignment="1">
      <alignment vertical="center"/>
    </xf>
    <xf numFmtId="0" fontId="22" fillId="5" borderId="36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vertical="center"/>
    </xf>
    <xf numFmtId="0" fontId="22" fillId="5" borderId="41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22" fillId="5" borderId="38" xfId="0" applyFont="1" applyFill="1" applyBorder="1" applyAlignment="1">
      <alignment vertical="center"/>
    </xf>
    <xf numFmtId="0" fontId="22" fillId="5" borderId="32" xfId="0" applyFont="1" applyFill="1" applyBorder="1" applyAlignment="1">
      <alignment vertical="center"/>
    </xf>
    <xf numFmtId="0" fontId="22" fillId="5" borderId="36" xfId="0" applyFont="1" applyFill="1" applyBorder="1" applyAlignment="1">
      <alignment vertical="center"/>
    </xf>
    <xf numFmtId="3" fontId="30" fillId="0" borderId="38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vertical="center"/>
    </xf>
    <xf numFmtId="3" fontId="22" fillId="0" borderId="38" xfId="0" applyNumberFormat="1" applyFont="1" applyBorder="1" applyAlignment="1">
      <alignment vertical="center"/>
    </xf>
    <xf numFmtId="3" fontId="30" fillId="0" borderId="36" xfId="0" applyNumberFormat="1" applyFont="1" applyBorder="1" applyAlignment="1">
      <alignment vertical="center"/>
    </xf>
    <xf numFmtId="3" fontId="30" fillId="0" borderId="38" xfId="0" applyNumberFormat="1" applyFont="1" applyBorder="1" applyAlignment="1">
      <alignment vertical="center"/>
    </xf>
    <xf numFmtId="3" fontId="22" fillId="0" borderId="44" xfId="0" applyNumberFormat="1" applyFont="1" applyBorder="1" applyAlignment="1">
      <alignment vertical="center"/>
    </xf>
    <xf numFmtId="3" fontId="22" fillId="0" borderId="32" xfId="0" applyNumberFormat="1" applyFont="1" applyBorder="1" applyAlignment="1">
      <alignment vertical="center"/>
    </xf>
    <xf numFmtId="3" fontId="22" fillId="0" borderId="36" xfId="0" applyNumberFormat="1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3" fontId="31" fillId="0" borderId="38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14" fontId="1" fillId="5" borderId="13" xfId="0" applyNumberFormat="1" applyFont="1" applyFill="1" applyBorder="1" applyAlignment="1">
      <alignment horizontal="center"/>
    </xf>
    <xf numFmtId="14" fontId="1" fillId="9" borderId="13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30" fillId="0" borderId="33" xfId="0" applyNumberFormat="1" applyFont="1" applyBorder="1" applyAlignment="1">
      <alignment horizontal="center" vertical="center"/>
    </xf>
    <xf numFmtId="14" fontId="30" fillId="0" borderId="34" xfId="0" applyNumberFormat="1" applyFont="1" applyBorder="1" applyAlignment="1">
      <alignment vertical="center"/>
    </xf>
    <xf numFmtId="14" fontId="30" fillId="0" borderId="33" xfId="0" applyNumberFormat="1" applyFont="1" applyBorder="1" applyAlignment="1">
      <alignment vertical="center"/>
    </xf>
    <xf numFmtId="14" fontId="22" fillId="0" borderId="34" xfId="0" applyNumberFormat="1" applyFont="1" applyBorder="1" applyAlignment="1">
      <alignment vertical="center"/>
    </xf>
    <xf numFmtId="14" fontId="22" fillId="0" borderId="33" xfId="0" applyNumberFormat="1" applyFont="1" applyBorder="1" applyAlignment="1">
      <alignment vertical="center"/>
    </xf>
    <xf numFmtId="14" fontId="22" fillId="0" borderId="5" xfId="0" applyNumberFormat="1" applyFont="1" applyBorder="1" applyAlignment="1">
      <alignment vertical="center" wrapText="1"/>
    </xf>
    <xf numFmtId="0" fontId="30" fillId="0" borderId="37" xfId="0" applyFont="1" applyBorder="1" applyAlignment="1">
      <alignment horizontal="center" vertical="center" wrapText="1"/>
    </xf>
    <xf numFmtId="3" fontId="30" fillId="0" borderId="36" xfId="0" applyNumberFormat="1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1" fillId="9" borderId="16" xfId="0" applyFont="1" applyFill="1" applyBorder="1" applyAlignment="1">
      <alignment/>
    </xf>
    <xf numFmtId="3" fontId="30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/>
    </xf>
    <xf numFmtId="0" fontId="3" fillId="0" borderId="46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35" fillId="0" borderId="0" xfId="0" applyFont="1" applyBorder="1" applyAlignment="1">
      <alignment vertical="top"/>
    </xf>
    <xf numFmtId="0" fontId="20" fillId="0" borderId="0" xfId="0" applyFont="1" applyBorder="1" applyAlignment="1">
      <alignment vertical="center"/>
    </xf>
    <xf numFmtId="2" fontId="1" fillId="9" borderId="16" xfId="0" applyNumberFormat="1" applyFont="1" applyFill="1" applyBorder="1" applyAlignment="1">
      <alignment horizontal="center" vertical="center"/>
    </xf>
    <xf numFmtId="2" fontId="1" fillId="5" borderId="16" xfId="0" applyNumberFormat="1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2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2" fontId="18" fillId="0" borderId="0" xfId="0" applyNumberFormat="1" applyFont="1" applyBorder="1" applyAlignment="1">
      <alignment horizontal="left" vertical="center"/>
    </xf>
    <xf numFmtId="0" fontId="0" fillId="6" borderId="47" xfId="0" applyFill="1" applyBorder="1" applyAlignment="1">
      <alignment/>
    </xf>
    <xf numFmtId="0" fontId="0" fillId="6" borderId="3" xfId="0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/>
    </xf>
    <xf numFmtId="0" fontId="0" fillId="6" borderId="11" xfId="0" applyFill="1" applyBorder="1" applyAlignment="1">
      <alignment/>
    </xf>
    <xf numFmtId="0" fontId="1" fillId="0" borderId="3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17" fontId="0" fillId="5" borderId="16" xfId="0" applyNumberFormat="1" applyFill="1" applyBorder="1" applyAlignment="1">
      <alignment horizontal="center"/>
    </xf>
    <xf numFmtId="17" fontId="12" fillId="5" borderId="16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7" fontId="37" fillId="0" borderId="0" xfId="0" applyNumberFormat="1" applyFont="1" applyBorder="1" applyAlignment="1">
      <alignment horizontal="center"/>
    </xf>
    <xf numFmtId="0" fontId="34" fillId="6" borderId="0" xfId="0" applyFont="1" applyFill="1" applyAlignment="1">
      <alignment/>
    </xf>
    <xf numFmtId="0" fontId="34" fillId="0" borderId="0" xfId="0" applyFont="1" applyAlignment="1">
      <alignment/>
    </xf>
    <xf numFmtId="0" fontId="38" fillId="6" borderId="0" xfId="0" applyFont="1" applyFill="1" applyAlignment="1">
      <alignment/>
    </xf>
    <xf numFmtId="0" fontId="38" fillId="6" borderId="0" xfId="0" applyFont="1" applyFill="1" applyAlignment="1">
      <alignment horizontal="center"/>
    </xf>
    <xf numFmtId="0" fontId="39" fillId="6" borderId="0" xfId="0" applyFont="1" applyFill="1" applyAlignment="1">
      <alignment horizontal="center"/>
    </xf>
    <xf numFmtId="3" fontId="38" fillId="6" borderId="0" xfId="0" applyNumberFormat="1" applyFont="1" applyFill="1" applyAlignment="1">
      <alignment/>
    </xf>
    <xf numFmtId="0" fontId="40" fillId="6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1" fillId="11" borderId="0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1" fillId="11" borderId="0" xfId="0" applyFont="1" applyFill="1" applyBorder="1" applyAlignment="1">
      <alignment horizontal="right"/>
    </xf>
    <xf numFmtId="0" fontId="1" fillId="11" borderId="0" xfId="0" applyFont="1" applyFill="1" applyBorder="1" applyAlignment="1">
      <alignment/>
    </xf>
    <xf numFmtId="0" fontId="2" fillId="11" borderId="15" xfId="0" applyFont="1" applyFill="1" applyBorder="1" applyAlignment="1">
      <alignment/>
    </xf>
    <xf numFmtId="0" fontId="2" fillId="11" borderId="14" xfId="0" applyFont="1" applyFill="1" applyBorder="1" applyAlignment="1">
      <alignment/>
    </xf>
    <xf numFmtId="0" fontId="2" fillId="11" borderId="15" xfId="0" applyFont="1" applyFill="1" applyBorder="1" applyAlignment="1">
      <alignment vertical="center"/>
    </xf>
    <xf numFmtId="2" fontId="2" fillId="11" borderId="15" xfId="0" applyNumberFormat="1" applyFont="1" applyFill="1" applyBorder="1" applyAlignment="1">
      <alignment vertical="center"/>
    </xf>
    <xf numFmtId="2" fontId="1" fillId="11" borderId="0" xfId="0" applyNumberFormat="1" applyFont="1" applyFill="1" applyBorder="1" applyAlignment="1">
      <alignment vertical="center"/>
    </xf>
    <xf numFmtId="2" fontId="5" fillId="11" borderId="0" xfId="0" applyNumberFormat="1" applyFont="1" applyFill="1" applyBorder="1" applyAlignment="1">
      <alignment horizontal="right" vertical="center"/>
    </xf>
    <xf numFmtId="0" fontId="2" fillId="11" borderId="13" xfId="0" applyFont="1" applyFill="1" applyBorder="1" applyAlignment="1">
      <alignment vertical="center"/>
    </xf>
    <xf numFmtId="2" fontId="2" fillId="11" borderId="14" xfId="0" applyNumberFormat="1" applyFont="1" applyFill="1" applyBorder="1" applyAlignment="1">
      <alignment vertical="center"/>
    </xf>
    <xf numFmtId="2" fontId="2" fillId="11" borderId="0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" fontId="3" fillId="11" borderId="5" xfId="0" applyNumberFormat="1" applyFont="1" applyFill="1" applyBorder="1" applyAlignment="1">
      <alignment horizontal="right" vertical="center"/>
    </xf>
    <xf numFmtId="1" fontId="3" fillId="11" borderId="5" xfId="0" applyNumberFormat="1" applyFont="1" applyFill="1" applyBorder="1" applyAlignment="1">
      <alignment vertical="center"/>
    </xf>
    <xf numFmtId="2" fontId="3" fillId="11" borderId="5" xfId="0" applyNumberFormat="1" applyFont="1" applyFill="1" applyBorder="1" applyAlignment="1">
      <alignment vertical="center"/>
    </xf>
    <xf numFmtId="0" fontId="3" fillId="12" borderId="48" xfId="0" applyFont="1" applyFill="1" applyBorder="1" applyAlignment="1">
      <alignment vertical="center"/>
    </xf>
    <xf numFmtId="0" fontId="42" fillId="12" borderId="49" xfId="0" applyFont="1" applyFill="1" applyBorder="1" applyAlignment="1">
      <alignment horizontal="center" vertical="center"/>
    </xf>
    <xf numFmtId="0" fontId="42" fillId="12" borderId="50" xfId="0" applyFont="1" applyFill="1" applyBorder="1" applyAlignment="1">
      <alignment vertical="center"/>
    </xf>
    <xf numFmtId="1" fontId="42" fillId="12" borderId="49" xfId="0" applyNumberFormat="1" applyFont="1" applyFill="1" applyBorder="1" applyAlignment="1">
      <alignment horizontal="right" vertical="center"/>
    </xf>
    <xf numFmtId="1" fontId="42" fillId="12" borderId="49" xfId="0" applyNumberFormat="1" applyFont="1" applyFill="1" applyBorder="1" applyAlignment="1">
      <alignment vertical="center"/>
    </xf>
    <xf numFmtId="2" fontId="42" fillId="12" borderId="49" xfId="0" applyNumberFormat="1" applyFont="1" applyFill="1" applyBorder="1" applyAlignment="1">
      <alignment vertical="center"/>
    </xf>
    <xf numFmtId="0" fontId="42" fillId="12" borderId="49" xfId="0" applyFont="1" applyFill="1" applyBorder="1" applyAlignment="1">
      <alignment/>
    </xf>
    <xf numFmtId="0" fontId="12" fillId="12" borderId="51" xfId="0" applyFont="1" applyFill="1" applyBorder="1" applyAlignment="1">
      <alignment vertical="center"/>
    </xf>
    <xf numFmtId="0" fontId="2" fillId="7" borderId="12" xfId="0" applyFont="1" applyFill="1" applyBorder="1" applyAlignment="1">
      <alignment horizontal="right"/>
    </xf>
    <xf numFmtId="0" fontId="2" fillId="7" borderId="0" xfId="0" applyFont="1" applyFill="1" applyBorder="1" applyAlignment="1">
      <alignment/>
    </xf>
    <xf numFmtId="0" fontId="2" fillId="7" borderId="0" xfId="0" applyFont="1" applyFill="1" applyBorder="1" applyAlignment="1">
      <alignment horizontal="right"/>
    </xf>
    <xf numFmtId="0" fontId="0" fillId="0" borderId="52" xfId="0" applyBorder="1" applyAlignment="1">
      <alignment/>
    </xf>
    <xf numFmtId="0" fontId="1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53" xfId="0" applyFont="1" applyBorder="1" applyAlignment="1">
      <alignment/>
    </xf>
    <xf numFmtId="0" fontId="41" fillId="12" borderId="3" xfId="0" applyFont="1" applyFill="1" applyBorder="1" applyAlignment="1">
      <alignment horizontal="right"/>
    </xf>
    <xf numFmtId="0" fontId="8" fillId="12" borderId="3" xfId="0" applyFont="1" applyFill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0" fillId="0" borderId="33" xfId="0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2" fillId="0" borderId="18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2" fillId="0" borderId="33" xfId="0" applyFont="1" applyBorder="1" applyAlignment="1">
      <alignment/>
    </xf>
    <xf numFmtId="0" fontId="1" fillId="0" borderId="33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41" xfId="0" applyFont="1" applyBorder="1" applyAlignment="1">
      <alignment vertical="center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41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2" fillId="7" borderId="0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2" fillId="12" borderId="56" xfId="0" applyFont="1" applyFill="1" applyBorder="1" applyAlignment="1">
      <alignment horizontal="center" vertical="center"/>
    </xf>
    <xf numFmtId="0" fontId="2" fillId="12" borderId="48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5" borderId="37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3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" fillId="13" borderId="37" xfId="0" applyFont="1" applyFill="1" applyBorder="1" applyAlignment="1">
      <alignment horizontal="center" vertical="center"/>
    </xf>
    <xf numFmtId="0" fontId="1" fillId="13" borderId="36" xfId="0" applyFont="1" applyFill="1" applyBorder="1" applyAlignment="1">
      <alignment horizontal="center" vertical="center"/>
    </xf>
    <xf numFmtId="17" fontId="12" fillId="5" borderId="13" xfId="0" applyNumberFormat="1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167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67" fontId="3" fillId="0" borderId="16" xfId="0" applyNumberFormat="1" applyFont="1" applyBorder="1" applyAlignment="1">
      <alignment horizontal="center" vertical="center"/>
    </xf>
    <xf numFmtId="0" fontId="3" fillId="13" borderId="50" xfId="0" applyFont="1" applyFill="1" applyBorder="1" applyAlignment="1">
      <alignment horizontal="center" vertical="center"/>
    </xf>
    <xf numFmtId="0" fontId="3" fillId="13" borderId="5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9" fontId="3" fillId="0" borderId="34" xfId="0" applyNumberFormat="1" applyFont="1" applyBorder="1" applyAlignment="1">
      <alignment horizontal="center" vertical="center"/>
    </xf>
    <xf numFmtId="169" fontId="3" fillId="0" borderId="32" xfId="0" applyNumberFormat="1" applyFont="1" applyBorder="1" applyAlignment="1">
      <alignment horizontal="center" vertical="center"/>
    </xf>
    <xf numFmtId="169" fontId="3" fillId="0" borderId="44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4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2" fillId="5" borderId="33" xfId="0" applyFont="1" applyFill="1" applyBorder="1" applyAlignment="1">
      <alignment horizontal="center" vertical="center"/>
    </xf>
    <xf numFmtId="0" fontId="22" fillId="5" borderId="41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left" vertical="top" wrapText="1"/>
    </xf>
    <xf numFmtId="0" fontId="27" fillId="0" borderId="3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3" fontId="30" fillId="0" borderId="33" xfId="0" applyNumberFormat="1" applyFont="1" applyBorder="1" applyAlignment="1">
      <alignment horizontal="center" vertical="center"/>
    </xf>
    <xf numFmtId="3" fontId="30" fillId="0" borderId="41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4" fillId="14" borderId="1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20</xdr:row>
      <xdr:rowOff>171450</xdr:rowOff>
    </xdr:from>
    <xdr:to>
      <xdr:col>2</xdr:col>
      <xdr:colOff>400050</xdr:colOff>
      <xdr:row>22</xdr:row>
      <xdr:rowOff>57150</xdr:rowOff>
    </xdr:to>
    <xdr:sp>
      <xdr:nvSpPr>
        <xdr:cNvPr id="1" name="Line 2"/>
        <xdr:cNvSpPr>
          <a:spLocks/>
        </xdr:cNvSpPr>
      </xdr:nvSpPr>
      <xdr:spPr>
        <a:xfrm>
          <a:off x="1247775" y="34766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32</xdr:row>
      <xdr:rowOff>161925</xdr:rowOff>
    </xdr:from>
    <xdr:to>
      <xdr:col>2</xdr:col>
      <xdr:colOff>428625</xdr:colOff>
      <xdr:row>34</xdr:row>
      <xdr:rowOff>66675</xdr:rowOff>
    </xdr:to>
    <xdr:sp>
      <xdr:nvSpPr>
        <xdr:cNvPr id="2" name="Line 4"/>
        <xdr:cNvSpPr>
          <a:spLocks/>
        </xdr:cNvSpPr>
      </xdr:nvSpPr>
      <xdr:spPr>
        <a:xfrm>
          <a:off x="1276350" y="53625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39</xdr:row>
      <xdr:rowOff>180975</xdr:rowOff>
    </xdr:from>
    <xdr:to>
      <xdr:col>2</xdr:col>
      <xdr:colOff>428625</xdr:colOff>
      <xdr:row>41</xdr:row>
      <xdr:rowOff>66675</xdr:rowOff>
    </xdr:to>
    <xdr:sp>
      <xdr:nvSpPr>
        <xdr:cNvPr id="3" name="Line 5"/>
        <xdr:cNvSpPr>
          <a:spLocks/>
        </xdr:cNvSpPr>
      </xdr:nvSpPr>
      <xdr:spPr>
        <a:xfrm>
          <a:off x="1276350" y="64293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15</xdr:row>
      <xdr:rowOff>38100</xdr:rowOff>
    </xdr:from>
    <xdr:to>
      <xdr:col>14</xdr:col>
      <xdr:colOff>57150</xdr:colOff>
      <xdr:row>17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990850" y="2085975"/>
          <a:ext cx="571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38100</xdr:rowOff>
    </xdr:from>
    <xdr:to>
      <xdr:col>24</xdr:col>
      <xdr:colOff>85725</xdr:colOff>
      <xdr:row>17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4991100" y="20859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4</xdr:row>
      <xdr:rowOff>9525</xdr:rowOff>
    </xdr:from>
    <xdr:to>
      <xdr:col>44</xdr:col>
      <xdr:colOff>152400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648325" y="361950"/>
          <a:ext cx="2847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Original / Duplicate / Triplicate / Quadruplicate
</a:t>
          </a:r>
        </a:p>
      </xdr:txBody>
    </xdr:sp>
    <xdr:clientData/>
  </xdr:twoCellAnchor>
  <xdr:twoCellAnchor>
    <xdr:from>
      <xdr:col>9</xdr:col>
      <xdr:colOff>542925</xdr:colOff>
      <xdr:row>11</xdr:row>
      <xdr:rowOff>47625</xdr:rowOff>
    </xdr:from>
    <xdr:to>
      <xdr:col>10</xdr:col>
      <xdr:colOff>19050</xdr:colOff>
      <xdr:row>13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133600" y="165735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161925</xdr:colOff>
      <xdr:row>15</xdr:row>
      <xdr:rowOff>38100</xdr:rowOff>
    </xdr:from>
    <xdr:to>
      <xdr:col>36</xdr:col>
      <xdr:colOff>57150</xdr:colOff>
      <xdr:row>17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6943725" y="20859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47</xdr:row>
      <xdr:rowOff>0</xdr:rowOff>
    </xdr:from>
    <xdr:to>
      <xdr:col>16</xdr:col>
      <xdr:colOff>76200</xdr:colOff>
      <xdr:row>47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2295525" y="6067425"/>
          <a:ext cx="1266825" cy="16192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15</xdr:row>
      <xdr:rowOff>38100</xdr:rowOff>
    </xdr:from>
    <xdr:to>
      <xdr:col>14</xdr:col>
      <xdr:colOff>57150</xdr:colOff>
      <xdr:row>17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990850" y="2095500"/>
          <a:ext cx="571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38100</xdr:rowOff>
    </xdr:from>
    <xdr:to>
      <xdr:col>24</xdr:col>
      <xdr:colOff>85725</xdr:colOff>
      <xdr:row>17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4991100" y="209550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4</xdr:row>
      <xdr:rowOff>9525</xdr:rowOff>
    </xdr:from>
    <xdr:to>
      <xdr:col>44</xdr:col>
      <xdr:colOff>152400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5648325" y="361950"/>
          <a:ext cx="2847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Original / Duplicate / Triplicate / Quadruplicate
</a:t>
          </a:r>
        </a:p>
      </xdr:txBody>
    </xdr:sp>
    <xdr:clientData/>
  </xdr:twoCellAnchor>
  <xdr:twoCellAnchor>
    <xdr:from>
      <xdr:col>9</xdr:col>
      <xdr:colOff>542925</xdr:colOff>
      <xdr:row>11</xdr:row>
      <xdr:rowOff>47625</xdr:rowOff>
    </xdr:from>
    <xdr:to>
      <xdr:col>10</xdr:col>
      <xdr:colOff>19050</xdr:colOff>
      <xdr:row>13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2133600" y="16668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161925</xdr:colOff>
      <xdr:row>15</xdr:row>
      <xdr:rowOff>38100</xdr:rowOff>
    </xdr:from>
    <xdr:to>
      <xdr:col>36</xdr:col>
      <xdr:colOff>57150</xdr:colOff>
      <xdr:row>17</xdr:row>
      <xdr:rowOff>95250</xdr:rowOff>
    </xdr:to>
    <xdr:sp>
      <xdr:nvSpPr>
        <xdr:cNvPr id="5" name="AutoShape 7"/>
        <xdr:cNvSpPr>
          <a:spLocks/>
        </xdr:cNvSpPr>
      </xdr:nvSpPr>
      <xdr:spPr>
        <a:xfrm>
          <a:off x="6943725" y="209550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47</xdr:row>
      <xdr:rowOff>0</xdr:rowOff>
    </xdr:from>
    <xdr:to>
      <xdr:col>16</xdr:col>
      <xdr:colOff>76200</xdr:colOff>
      <xdr:row>47</xdr:row>
      <xdr:rowOff>161925</xdr:rowOff>
    </xdr:to>
    <xdr:sp>
      <xdr:nvSpPr>
        <xdr:cNvPr id="6" name="Rectangle 12"/>
        <xdr:cNvSpPr>
          <a:spLocks/>
        </xdr:cNvSpPr>
      </xdr:nvSpPr>
      <xdr:spPr>
        <a:xfrm>
          <a:off x="2295525" y="6076950"/>
          <a:ext cx="1266825" cy="16192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4</xdr:col>
      <xdr:colOff>171450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42900" y="9525"/>
          <a:ext cx="12096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Original / Duplicate / Triplicate / Quadruplicate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18</xdr:col>
      <xdr:colOff>352425</xdr:colOff>
      <xdr:row>2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5133975" y="9525"/>
          <a:ext cx="11906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Original / Duplicate / Triplicate / Quadruplicate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38100</xdr:rowOff>
    </xdr:from>
    <xdr:to>
      <xdr:col>5</xdr:col>
      <xdr:colOff>171450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228600" y="371475"/>
          <a:ext cx="17811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Only for Un-Exempted Establishments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247650</xdr:colOff>
      <xdr:row>2</xdr:row>
      <xdr:rowOff>47625</xdr:rowOff>
    </xdr:from>
    <xdr:to>
      <xdr:col>14</xdr:col>
      <xdr:colOff>9525</xdr:colOff>
      <xdr:row>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7820025" y="381000"/>
          <a:ext cx="18288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(To be filled in by the EPFO)
Establishment Status                     
Group Code.          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13</xdr:col>
      <xdr:colOff>790575</xdr:colOff>
      <xdr:row>4</xdr:row>
      <xdr:rowOff>123825</xdr:rowOff>
    </xdr:from>
    <xdr:to>
      <xdr:col>13</xdr:col>
      <xdr:colOff>1028700</xdr:colOff>
      <xdr:row>5</xdr:row>
      <xdr:rowOff>76200</xdr:rowOff>
    </xdr:to>
    <xdr:sp>
      <xdr:nvSpPr>
        <xdr:cNvPr id="3" name="Rectangle 6"/>
        <xdr:cNvSpPr>
          <a:spLocks/>
        </xdr:cNvSpPr>
      </xdr:nvSpPr>
      <xdr:spPr>
        <a:xfrm>
          <a:off x="9344025" y="923925"/>
          <a:ext cx="2381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4</xdr:row>
      <xdr:rowOff>123825</xdr:rowOff>
    </xdr:from>
    <xdr:to>
      <xdr:col>13</xdr:col>
      <xdr:colOff>457200</xdr:colOff>
      <xdr:row>5</xdr:row>
      <xdr:rowOff>76200</xdr:rowOff>
    </xdr:to>
    <xdr:sp>
      <xdr:nvSpPr>
        <xdr:cNvPr id="4" name="Rectangle 8"/>
        <xdr:cNvSpPr>
          <a:spLocks/>
        </xdr:cNvSpPr>
      </xdr:nvSpPr>
      <xdr:spPr>
        <a:xfrm>
          <a:off x="8772525" y="923925"/>
          <a:ext cx="2381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4</xdr:row>
      <xdr:rowOff>123825</xdr:rowOff>
    </xdr:from>
    <xdr:to>
      <xdr:col>13</xdr:col>
      <xdr:colOff>752475</xdr:colOff>
      <xdr:row>5</xdr:row>
      <xdr:rowOff>76200</xdr:rowOff>
    </xdr:to>
    <xdr:sp>
      <xdr:nvSpPr>
        <xdr:cNvPr id="5" name="Rectangle 9"/>
        <xdr:cNvSpPr>
          <a:spLocks/>
        </xdr:cNvSpPr>
      </xdr:nvSpPr>
      <xdr:spPr>
        <a:xfrm>
          <a:off x="9067800" y="923925"/>
          <a:ext cx="2381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781050</xdr:colOff>
      <xdr:row>3</xdr:row>
      <xdr:rowOff>180975</xdr:rowOff>
    </xdr:from>
    <xdr:to>
      <xdr:col>13</xdr:col>
      <xdr:colOff>1019175</xdr:colOff>
      <xdr:row>4</xdr:row>
      <xdr:rowOff>57150</xdr:rowOff>
    </xdr:to>
    <xdr:sp>
      <xdr:nvSpPr>
        <xdr:cNvPr id="6" name="Rectangle 10"/>
        <xdr:cNvSpPr>
          <a:spLocks/>
        </xdr:cNvSpPr>
      </xdr:nvSpPr>
      <xdr:spPr>
        <a:xfrm>
          <a:off x="9334500" y="742950"/>
          <a:ext cx="2381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971550</xdr:colOff>
      <xdr:row>28</xdr:row>
      <xdr:rowOff>114300</xdr:rowOff>
    </xdr:from>
    <xdr:to>
      <xdr:col>5</xdr:col>
      <xdr:colOff>390525</xdr:colOff>
      <xdr:row>28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1419225" y="53625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28</xdr:row>
      <xdr:rowOff>114300</xdr:rowOff>
    </xdr:from>
    <xdr:to>
      <xdr:col>5</xdr:col>
      <xdr:colOff>1200150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2647950" y="5362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15</xdr:row>
      <xdr:rowOff>38100</xdr:rowOff>
    </xdr:from>
    <xdr:to>
      <xdr:col>14</xdr:col>
      <xdr:colOff>57150</xdr:colOff>
      <xdr:row>17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990850" y="2095500"/>
          <a:ext cx="571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38100</xdr:rowOff>
    </xdr:from>
    <xdr:to>
      <xdr:col>24</xdr:col>
      <xdr:colOff>85725</xdr:colOff>
      <xdr:row>17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4991100" y="209550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4</xdr:row>
      <xdr:rowOff>9525</xdr:rowOff>
    </xdr:from>
    <xdr:to>
      <xdr:col>44</xdr:col>
      <xdr:colOff>152400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648325" y="361950"/>
          <a:ext cx="2847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Original / Duplicate / Triplicate / Quadruplicate
</a:t>
          </a:r>
        </a:p>
      </xdr:txBody>
    </xdr:sp>
    <xdr:clientData/>
  </xdr:twoCellAnchor>
  <xdr:twoCellAnchor>
    <xdr:from>
      <xdr:col>9</xdr:col>
      <xdr:colOff>542925</xdr:colOff>
      <xdr:row>11</xdr:row>
      <xdr:rowOff>47625</xdr:rowOff>
    </xdr:from>
    <xdr:to>
      <xdr:col>10</xdr:col>
      <xdr:colOff>19050</xdr:colOff>
      <xdr:row>13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133600" y="16668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161925</xdr:colOff>
      <xdr:row>15</xdr:row>
      <xdr:rowOff>38100</xdr:rowOff>
    </xdr:from>
    <xdr:to>
      <xdr:col>36</xdr:col>
      <xdr:colOff>57150</xdr:colOff>
      <xdr:row>17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6943725" y="209550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47</xdr:row>
      <xdr:rowOff>0</xdr:rowOff>
    </xdr:from>
    <xdr:to>
      <xdr:col>16</xdr:col>
      <xdr:colOff>76200</xdr:colOff>
      <xdr:row>47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2295525" y="6076950"/>
          <a:ext cx="1266825" cy="16192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0"/>
  <sheetViews>
    <sheetView workbookViewId="0" topLeftCell="A43">
      <selection activeCell="F72" sqref="F72"/>
    </sheetView>
  </sheetViews>
  <sheetFormatPr defaultColWidth="9.140625" defaultRowHeight="12.75"/>
  <cols>
    <col min="1" max="1" width="3.8515625" style="288" customWidth="1"/>
    <col min="2" max="2" width="8.8515625" style="288" customWidth="1"/>
    <col min="3" max="3" width="10.57421875" style="288" customWidth="1"/>
    <col min="4" max="4" width="7.421875" style="288" bestFit="1" customWidth="1"/>
    <col min="5" max="5" width="9.8515625" style="293" customWidth="1"/>
    <col min="6" max="6" width="10.28125" style="288" bestFit="1" customWidth="1"/>
    <col min="7" max="8" width="11.421875" style="288" bestFit="1" customWidth="1"/>
    <col min="9" max="9" width="8.57421875" style="288" bestFit="1" customWidth="1"/>
    <col min="10" max="10" width="8.00390625" style="286" customWidth="1"/>
    <col min="11" max="11" width="1.28515625" style="287" customWidth="1"/>
    <col min="12" max="12" width="8.28125" style="286" bestFit="1" customWidth="1"/>
    <col min="13" max="13" width="8.57421875" style="286" bestFit="1" customWidth="1"/>
    <col min="14" max="14" width="3.140625" style="286" customWidth="1"/>
    <col min="15" max="15" width="4.140625" style="286" bestFit="1" customWidth="1"/>
    <col min="16" max="16" width="4.28125" style="286" customWidth="1"/>
    <col min="17" max="47" width="9.140625" style="286" customWidth="1"/>
    <col min="48" max="16384" width="9.140625" style="287" customWidth="1"/>
  </cols>
  <sheetData>
    <row r="1" spans="1:47" ht="12.75">
      <c r="A1" s="63"/>
      <c r="C1" s="281">
        <f ca="1">TODAY()</f>
        <v>40380</v>
      </c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</row>
    <row r="2" spans="1:47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</row>
    <row r="3" spans="1:47" ht="12.75">
      <c r="A3" s="84"/>
      <c r="B3" s="371">
        <v>875</v>
      </c>
      <c r="C3" s="373" t="s">
        <v>27</v>
      </c>
      <c r="D3" s="282" t="s">
        <v>9</v>
      </c>
      <c r="E3" s="282" t="s">
        <v>28</v>
      </c>
      <c r="F3" s="367" t="s">
        <v>6</v>
      </c>
      <c r="G3" s="371">
        <v>192</v>
      </c>
      <c r="H3" s="373" t="s">
        <v>27</v>
      </c>
      <c r="I3" s="61" t="s">
        <v>9</v>
      </c>
      <c r="J3" s="369" t="s">
        <v>28</v>
      </c>
      <c r="K3" s="370"/>
      <c r="L3" s="367" t="s">
        <v>6</v>
      </c>
      <c r="M3" s="84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</row>
    <row r="4" spans="1:47" ht="12.75">
      <c r="A4" s="84"/>
      <c r="B4" s="372"/>
      <c r="C4" s="374"/>
      <c r="D4" s="283">
        <f>E4-31</f>
        <v>40318</v>
      </c>
      <c r="E4" s="283">
        <f>C1-31</f>
        <v>40349</v>
      </c>
      <c r="F4" s="368"/>
      <c r="G4" s="372"/>
      <c r="H4" s="374"/>
      <c r="I4" s="283">
        <f>J4-31</f>
        <v>40318</v>
      </c>
      <c r="J4" s="375">
        <f>C1-31</f>
        <v>40349</v>
      </c>
      <c r="K4" s="376"/>
      <c r="L4" s="368"/>
      <c r="M4" s="84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</row>
    <row r="5" spans="1:47" ht="16.5" customHeight="1">
      <c r="A5" s="84"/>
      <c r="B5" s="277" t="s">
        <v>0</v>
      </c>
      <c r="C5" s="278">
        <v>33</v>
      </c>
      <c r="D5" s="279">
        <v>2</v>
      </c>
      <c r="E5" s="279"/>
      <c r="F5" s="280">
        <f>SUM((C5-D5)+E5)</f>
        <v>31</v>
      </c>
      <c r="G5" s="277" t="s">
        <v>0</v>
      </c>
      <c r="H5" s="279">
        <v>13</v>
      </c>
      <c r="I5" s="279"/>
      <c r="J5" s="377"/>
      <c r="K5" s="378"/>
      <c r="L5" s="280">
        <f>SUM((H5-I5)+J5)</f>
        <v>13</v>
      </c>
      <c r="M5" s="84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</row>
    <row r="6" spans="1:47" ht="18.75" customHeight="1">
      <c r="A6" s="84"/>
      <c r="B6" s="277" t="s">
        <v>1</v>
      </c>
      <c r="C6" s="278">
        <v>57</v>
      </c>
      <c r="D6" s="279">
        <v>10</v>
      </c>
      <c r="E6" s="279">
        <v>1</v>
      </c>
      <c r="F6" s="280">
        <f>SUM((C6-D6)+E6)</f>
        <v>48</v>
      </c>
      <c r="G6" s="277" t="s">
        <v>1</v>
      </c>
      <c r="H6" s="279">
        <v>32</v>
      </c>
      <c r="I6" s="279">
        <v>4</v>
      </c>
      <c r="J6" s="377"/>
      <c r="K6" s="378"/>
      <c r="L6" s="280">
        <f>SUM((H6-I6)+J6)</f>
        <v>28</v>
      </c>
      <c r="M6" s="84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</row>
    <row r="7" spans="1:47" ht="18" customHeight="1">
      <c r="A7" s="84"/>
      <c r="B7" s="277" t="s">
        <v>2</v>
      </c>
      <c r="C7" s="278">
        <v>105</v>
      </c>
      <c r="D7" s="279">
        <v>61</v>
      </c>
      <c r="E7" s="279"/>
      <c r="F7" s="280">
        <f>SUM((C7-D7)+E7)</f>
        <v>44</v>
      </c>
      <c r="G7" s="277" t="s">
        <v>2</v>
      </c>
      <c r="H7" s="279">
        <v>1</v>
      </c>
      <c r="I7" s="279"/>
      <c r="J7" s="377"/>
      <c r="K7" s="378"/>
      <c r="L7" s="280">
        <f>SUM((H7-I7)+J7)</f>
        <v>1</v>
      </c>
      <c r="M7" s="84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</row>
    <row r="8" spans="1:47" ht="18" customHeight="1">
      <c r="A8" s="84"/>
      <c r="B8" s="277" t="s">
        <v>291</v>
      </c>
      <c r="C8" s="278">
        <v>24</v>
      </c>
      <c r="D8" s="279">
        <v>14</v>
      </c>
      <c r="E8" s="279"/>
      <c r="F8" s="280">
        <f>SUM((C8-D8)+E8)</f>
        <v>10</v>
      </c>
      <c r="G8" s="277" t="s">
        <v>291</v>
      </c>
      <c r="H8" s="279">
        <v>0</v>
      </c>
      <c r="I8" s="279"/>
      <c r="J8" s="377"/>
      <c r="K8" s="378"/>
      <c r="L8" s="280">
        <f>SUM((H8-I8)+J8)</f>
        <v>0</v>
      </c>
      <c r="M8" s="84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</row>
    <row r="9" spans="1:47" ht="15.75" customHeight="1">
      <c r="A9" s="84"/>
      <c r="B9" s="61" t="s">
        <v>6</v>
      </c>
      <c r="C9" s="61">
        <f>SUM(C5:C8)</f>
        <v>219</v>
      </c>
      <c r="D9" s="61">
        <f>SUM(D5:D8)</f>
        <v>87</v>
      </c>
      <c r="E9" s="61">
        <f>SUM(E5:E8)</f>
        <v>1</v>
      </c>
      <c r="F9" s="295">
        <f>SUM(F5:F8)</f>
        <v>133</v>
      </c>
      <c r="G9" s="61" t="s">
        <v>6</v>
      </c>
      <c r="H9" s="61">
        <f>SUM(H5:H8)</f>
        <v>46</v>
      </c>
      <c r="I9" s="61">
        <f>SUM(I5:I8)</f>
        <v>4</v>
      </c>
      <c r="J9" s="369">
        <f>SUM(J5:J8)</f>
        <v>0</v>
      </c>
      <c r="K9" s="370"/>
      <c r="L9" s="295">
        <f>SUM(L5:L8)</f>
        <v>42</v>
      </c>
      <c r="M9" s="8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</row>
    <row r="10" spans="1:47" s="62" customFormat="1" ht="6.75" customHeight="1" thickBot="1">
      <c r="A10" s="84"/>
      <c r="B10" s="84"/>
      <c r="C10" s="85"/>
      <c r="D10" s="85"/>
      <c r="E10" s="85"/>
      <c r="F10" s="85"/>
      <c r="G10" s="85"/>
      <c r="H10" s="85"/>
      <c r="I10" s="85"/>
      <c r="J10" s="85"/>
      <c r="K10" s="84"/>
      <c r="L10" s="84"/>
      <c r="M10" s="84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</row>
    <row r="11" spans="1:47" ht="15.75" customHeight="1">
      <c r="A11" s="267"/>
      <c r="B11" s="379" t="s">
        <v>294</v>
      </c>
      <c r="C11" s="380"/>
      <c r="D11" s="380"/>
      <c r="E11" s="380"/>
      <c r="F11" s="380"/>
      <c r="G11" s="380"/>
      <c r="H11" s="380"/>
      <c r="I11" s="380"/>
      <c r="J11" s="380"/>
      <c r="K11" s="365"/>
      <c r="L11" s="84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</row>
    <row r="12" spans="1:47" ht="4.5" customHeight="1">
      <c r="A12" s="268"/>
      <c r="B12" s="30"/>
      <c r="C12" s="41"/>
      <c r="D12" s="31"/>
      <c r="E12" s="31"/>
      <c r="F12" s="31"/>
      <c r="G12" s="31"/>
      <c r="H12" s="31"/>
      <c r="I12" s="31"/>
      <c r="J12" s="31"/>
      <c r="K12" s="32"/>
      <c r="L12" s="84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</row>
    <row r="13" spans="1:47" s="2" customFormat="1" ht="12" thickBot="1">
      <c r="A13" s="269"/>
      <c r="B13" s="47" t="s">
        <v>19</v>
      </c>
      <c r="C13" s="48" t="s">
        <v>18</v>
      </c>
      <c r="D13" s="50" t="s">
        <v>22</v>
      </c>
      <c r="E13" s="50" t="s">
        <v>3</v>
      </c>
      <c r="F13" s="49" t="s">
        <v>4</v>
      </c>
      <c r="G13" s="50" t="s">
        <v>5</v>
      </c>
      <c r="H13" s="50" t="s">
        <v>6</v>
      </c>
      <c r="I13" s="50" t="str">
        <f>"3.67%"</f>
        <v>3.67%</v>
      </c>
      <c r="J13" s="50" t="str">
        <f>"8.33%"</f>
        <v>8.33%</v>
      </c>
      <c r="K13" s="51"/>
      <c r="L13" s="86"/>
      <c r="M13" s="64"/>
      <c r="N13" s="64"/>
      <c r="O13" s="64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1:47" s="2" customFormat="1" ht="6.75" customHeight="1" thickTop="1">
      <c r="A14" s="269"/>
      <c r="B14" s="24"/>
      <c r="C14" s="8"/>
      <c r="D14" s="7"/>
      <c r="E14" s="40"/>
      <c r="F14" s="7"/>
      <c r="G14" s="40"/>
      <c r="H14" s="40"/>
      <c r="I14" s="40"/>
      <c r="J14" s="40"/>
      <c r="K14" s="25"/>
      <c r="L14" s="86"/>
      <c r="M14" s="64"/>
      <c r="N14" s="64"/>
      <c r="O14" s="64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</row>
    <row r="15" spans="1:47" s="2" customFormat="1" ht="12.75" customHeight="1">
      <c r="A15" s="269"/>
      <c r="B15" s="332" t="s">
        <v>26</v>
      </c>
      <c r="C15" s="4" t="s">
        <v>291</v>
      </c>
      <c r="D15" s="265">
        <f>F8</f>
        <v>10</v>
      </c>
      <c r="E15" s="265">
        <v>26125</v>
      </c>
      <c r="F15" s="265">
        <v>0</v>
      </c>
      <c r="G15" s="296">
        <f>H15-F15</f>
        <v>3135</v>
      </c>
      <c r="H15" s="9">
        <v>3135</v>
      </c>
      <c r="I15" s="296">
        <f>G15-J15</f>
        <v>959</v>
      </c>
      <c r="J15" s="265">
        <v>2176</v>
      </c>
      <c r="K15" s="25"/>
      <c r="L15" s="86"/>
      <c r="M15" s="64"/>
      <c r="N15" s="64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</row>
    <row r="16" spans="1:47" s="1" customFormat="1" ht="12.75" customHeight="1">
      <c r="A16" s="270"/>
      <c r="C16" s="14" t="s">
        <v>0</v>
      </c>
      <c r="D16" s="9">
        <f>F5</f>
        <v>31</v>
      </c>
      <c r="E16" s="9">
        <v>90506</v>
      </c>
      <c r="F16" s="9">
        <v>780</v>
      </c>
      <c r="G16" s="296">
        <f>H16-F16</f>
        <v>10861</v>
      </c>
      <c r="H16" s="9">
        <v>11641</v>
      </c>
      <c r="I16" s="296">
        <f>G16-J16</f>
        <v>3322</v>
      </c>
      <c r="J16" s="9">
        <v>7539</v>
      </c>
      <c r="K16" s="18"/>
      <c r="L16" s="87"/>
      <c r="M16" s="66"/>
      <c r="N16" s="66"/>
      <c r="O16" s="66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</row>
    <row r="17" spans="1:47" s="1" customFormat="1" ht="15" customHeight="1">
      <c r="A17" s="270"/>
      <c r="B17" s="19"/>
      <c r="C17" s="14" t="s">
        <v>1</v>
      </c>
      <c r="D17" s="9">
        <f>F6</f>
        <v>48</v>
      </c>
      <c r="E17" s="9">
        <v>63490</v>
      </c>
      <c r="F17" s="9">
        <v>780</v>
      </c>
      <c r="G17" s="296">
        <f>H17-F17</f>
        <v>7618</v>
      </c>
      <c r="H17" s="9">
        <v>8398</v>
      </c>
      <c r="I17" s="296">
        <f>G17-J17</f>
        <v>2330</v>
      </c>
      <c r="J17" s="9">
        <v>5288</v>
      </c>
      <c r="K17" s="18"/>
      <c r="L17" s="87"/>
      <c r="M17" s="66"/>
      <c r="N17" s="66"/>
      <c r="O17" s="66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</row>
    <row r="18" spans="1:47" s="1" customFormat="1" ht="14.25" customHeight="1">
      <c r="A18" s="270"/>
      <c r="B18" s="19"/>
      <c r="C18" s="14" t="s">
        <v>2</v>
      </c>
      <c r="D18" s="15">
        <f>F7</f>
        <v>44</v>
      </c>
      <c r="E18" s="15">
        <v>34985</v>
      </c>
      <c r="F18" s="15">
        <v>0</v>
      </c>
      <c r="G18" s="297">
        <f>H18-F18</f>
        <v>4193</v>
      </c>
      <c r="H18" s="15">
        <v>4193</v>
      </c>
      <c r="I18" s="297">
        <f>G18-J18</f>
        <v>1281</v>
      </c>
      <c r="J18" s="15">
        <v>2912</v>
      </c>
      <c r="K18" s="18"/>
      <c r="L18" s="88"/>
      <c r="M18" s="68"/>
      <c r="N18" s="68"/>
      <c r="O18" s="68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</row>
    <row r="19" spans="1:47" ht="15.75" customHeight="1">
      <c r="A19" s="268"/>
      <c r="B19" s="272"/>
      <c r="C19" s="14"/>
      <c r="D19" s="298">
        <f aca="true" t="shared" si="0" ref="D19:J19">SUM(D15:D18)</f>
        <v>133</v>
      </c>
      <c r="E19" s="298">
        <f t="shared" si="0"/>
        <v>215106</v>
      </c>
      <c r="F19" s="298">
        <f t="shared" si="0"/>
        <v>1560</v>
      </c>
      <c r="G19" s="298">
        <f t="shared" si="0"/>
        <v>25807</v>
      </c>
      <c r="H19" s="298">
        <f t="shared" si="0"/>
        <v>27367</v>
      </c>
      <c r="I19" s="298">
        <f t="shared" si="0"/>
        <v>7892</v>
      </c>
      <c r="J19" s="298">
        <f t="shared" si="0"/>
        <v>17915</v>
      </c>
      <c r="K19" s="22"/>
      <c r="L19" s="89"/>
      <c r="M19" s="69"/>
      <c r="N19" s="69"/>
      <c r="O19" s="69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</row>
    <row r="20" spans="1:47" ht="6" customHeight="1">
      <c r="A20" s="268"/>
      <c r="B20" s="19"/>
      <c r="C20" s="11"/>
      <c r="D20" s="10"/>
      <c r="E20" s="10"/>
      <c r="F20" s="11"/>
      <c r="G20" s="11"/>
      <c r="H20" s="11"/>
      <c r="I20" s="11"/>
      <c r="J20" s="11"/>
      <c r="K20" s="36"/>
      <c r="L20" s="90"/>
      <c r="M20" s="70"/>
      <c r="N20" s="70"/>
      <c r="O20" s="70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</row>
    <row r="21" spans="1:47" ht="15" customHeight="1">
      <c r="A21" s="268"/>
      <c r="B21" s="34"/>
      <c r="C21" s="366" t="s">
        <v>7</v>
      </c>
      <c r="D21" s="366"/>
      <c r="E21" s="6"/>
      <c r="F21" s="42" t="s">
        <v>11</v>
      </c>
      <c r="G21" s="5" t="str">
        <f>"12%+3.67%"</f>
        <v>12%+3.67%</v>
      </c>
      <c r="H21" s="299">
        <f>H19</f>
        <v>27367</v>
      </c>
      <c r="I21" s="299">
        <f>I19</f>
        <v>7892</v>
      </c>
      <c r="J21" s="300">
        <f>SUM(H21:I21)</f>
        <v>35259</v>
      </c>
      <c r="K21" s="37"/>
      <c r="L21" s="91"/>
      <c r="M21" s="67"/>
      <c r="N21" s="67"/>
      <c r="O21" s="67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</row>
    <row r="22" spans="1:47" ht="12.75" customHeight="1">
      <c r="A22" s="268"/>
      <c r="B22" s="20"/>
      <c r="C22" s="6"/>
      <c r="D22" s="6"/>
      <c r="E22" s="6"/>
      <c r="F22" s="42" t="s">
        <v>12</v>
      </c>
      <c r="G22" s="4" t="str">
        <f>"1.1 %"</f>
        <v>1.1 %</v>
      </c>
      <c r="H22" s="5"/>
      <c r="I22" s="300">
        <f>ROUND(SUM(E19*1.1%),0)</f>
        <v>2366</v>
      </c>
      <c r="J22" s="300">
        <f>SUM(H22:I22)</f>
        <v>2366</v>
      </c>
      <c r="K22" s="37"/>
      <c r="L22" s="91"/>
      <c r="M22" s="67"/>
      <c r="N22" s="67"/>
      <c r="O22" s="67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</row>
    <row r="23" spans="1:47" ht="14.25" customHeight="1">
      <c r="A23" s="268"/>
      <c r="B23" s="284" t="s">
        <v>8</v>
      </c>
      <c r="C23" s="285">
        <f>D4</f>
        <v>40318</v>
      </c>
      <c r="D23" s="5">
        <f>C9</f>
        <v>219</v>
      </c>
      <c r="E23" s="6"/>
      <c r="F23" s="42" t="s">
        <v>13</v>
      </c>
      <c r="G23" s="4" t="str">
        <f>"8.33 %"</f>
        <v>8.33 %</v>
      </c>
      <c r="H23" s="5"/>
      <c r="I23" s="300">
        <f>J19</f>
        <v>17915</v>
      </c>
      <c r="J23" s="300">
        <f>SUM(H23:I23)</f>
        <v>17915</v>
      </c>
      <c r="K23" s="37"/>
      <c r="L23" s="91"/>
      <c r="M23" s="67"/>
      <c r="N23" s="67"/>
      <c r="O23" s="67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</row>
    <row r="24" spans="1:47" ht="12.75">
      <c r="A24" s="268"/>
      <c r="B24" s="284" t="s">
        <v>16</v>
      </c>
      <c r="C24" s="285">
        <f>E4</f>
        <v>40349</v>
      </c>
      <c r="D24" s="5">
        <f>E9</f>
        <v>1</v>
      </c>
      <c r="E24" s="6"/>
      <c r="F24" s="42" t="s">
        <v>14</v>
      </c>
      <c r="G24" s="4" t="str">
        <f>"0.5 %"</f>
        <v>0.5 %</v>
      </c>
      <c r="H24" s="5"/>
      <c r="I24" s="300">
        <f>ROUND(SUM(E19*0.5%),0)</f>
        <v>1076</v>
      </c>
      <c r="J24" s="300">
        <f>SUM(H24:I24)</f>
        <v>1076</v>
      </c>
      <c r="K24" s="37"/>
      <c r="L24" s="91"/>
      <c r="M24" s="67"/>
      <c r="N24" s="67"/>
      <c r="O24" s="67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</row>
    <row r="25" spans="1:47" ht="12.75">
      <c r="A25" s="268"/>
      <c r="B25" s="284" t="s">
        <v>9</v>
      </c>
      <c r="C25" s="285">
        <f>D4</f>
        <v>40318</v>
      </c>
      <c r="D25" s="5">
        <f>D9</f>
        <v>87</v>
      </c>
      <c r="E25" s="6"/>
      <c r="F25" s="42" t="s">
        <v>15</v>
      </c>
      <c r="G25" s="4" t="str">
        <f>"0.01%"</f>
        <v>0.01%</v>
      </c>
      <c r="H25" s="5"/>
      <c r="I25" s="300">
        <f>IF(ROUND(SUM(E19*0.01%),0)&lt;(2),2,(ROUND(SUM(E19*0.01%),0)))</f>
        <v>22</v>
      </c>
      <c r="J25" s="300">
        <f>SUM(H25:I25)</f>
        <v>22</v>
      </c>
      <c r="K25" s="37"/>
      <c r="L25" s="92"/>
      <c r="M25" s="71"/>
      <c r="N25" s="71"/>
      <c r="O25" s="71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</row>
    <row r="26" spans="1:47" ht="12.75">
      <c r="A26" s="268"/>
      <c r="B26" s="20"/>
      <c r="C26" s="43" t="s">
        <v>10</v>
      </c>
      <c r="D26" s="44">
        <f>SUM((D23+D24)-D25)</f>
        <v>133</v>
      </c>
      <c r="E26" s="6"/>
      <c r="F26" s="45"/>
      <c r="G26" s="46"/>
      <c r="H26" s="301">
        <f>SUM(H21:H25)</f>
        <v>27367</v>
      </c>
      <c r="I26" s="301">
        <f>SUM(I21:I25)</f>
        <v>29271</v>
      </c>
      <c r="J26" s="302">
        <f>SUM(J21:J25)</f>
        <v>56638</v>
      </c>
      <c r="K26" s="38"/>
      <c r="L26" s="93"/>
      <c r="M26" s="72">
        <f>SUM(H26:I26)</f>
        <v>56638</v>
      </c>
      <c r="N26" s="72"/>
      <c r="O26" s="72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</row>
    <row r="27" spans="1:47" ht="9" customHeight="1">
      <c r="A27" s="268"/>
      <c r="B27" s="325"/>
      <c r="C27" s="326"/>
      <c r="D27" s="327" t="str">
        <f>IF((D19)-(D26)=(0)," ","check again, your total employee is not matching")</f>
        <v> </v>
      </c>
      <c r="E27" s="328"/>
      <c r="F27" s="328"/>
      <c r="G27" s="328"/>
      <c r="H27" s="327"/>
      <c r="I27" s="327"/>
      <c r="J27" s="329" t="str">
        <f>IF((J26)-(M26)=(0)," ","check again, your calcuation is wrong")</f>
        <v> </v>
      </c>
      <c r="K27" s="330"/>
      <c r="L27" s="93"/>
      <c r="M27" s="72"/>
      <c r="N27" s="72"/>
      <c r="O27" s="72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</row>
    <row r="28" spans="1:47" ht="15">
      <c r="A28" s="268"/>
      <c r="B28" s="331" t="s">
        <v>25</v>
      </c>
      <c r="C28" s="14" t="s">
        <v>0</v>
      </c>
      <c r="D28" s="9">
        <f>L5</f>
        <v>13</v>
      </c>
      <c r="E28" s="9">
        <v>32398</v>
      </c>
      <c r="F28" s="9"/>
      <c r="G28" s="296">
        <f>H28-F28</f>
        <v>3887</v>
      </c>
      <c r="H28" s="9">
        <v>3887</v>
      </c>
      <c r="I28" s="296">
        <f>G28-J28</f>
        <v>1189</v>
      </c>
      <c r="J28" s="9">
        <v>2698</v>
      </c>
      <c r="K28" s="18"/>
      <c r="L28" s="93"/>
      <c r="M28" s="72"/>
      <c r="N28" s="72"/>
      <c r="O28" s="72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</row>
    <row r="29" spans="1:47" ht="12.75">
      <c r="A29" s="268"/>
      <c r="B29" s="20"/>
      <c r="C29" s="14" t="s">
        <v>1</v>
      </c>
      <c r="D29" s="9">
        <f>L6</f>
        <v>28</v>
      </c>
      <c r="E29" s="9">
        <v>86636</v>
      </c>
      <c r="F29" s="9">
        <v>690</v>
      </c>
      <c r="G29" s="296">
        <f>H29-F29</f>
        <v>10395</v>
      </c>
      <c r="H29" s="9">
        <v>11085</v>
      </c>
      <c r="I29" s="296">
        <f>G29-J29</f>
        <v>3182</v>
      </c>
      <c r="J29" s="9">
        <v>7213</v>
      </c>
      <c r="K29" s="18"/>
      <c r="L29" s="93"/>
      <c r="M29" s="72"/>
      <c r="N29" s="72"/>
      <c r="O29" s="7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</row>
    <row r="30" spans="1:47" ht="12.75">
      <c r="A30" s="268"/>
      <c r="B30" s="20"/>
      <c r="C30" s="14" t="s">
        <v>2</v>
      </c>
      <c r="D30" s="15">
        <f>L7</f>
        <v>1</v>
      </c>
      <c r="E30" s="15">
        <v>3825</v>
      </c>
      <c r="F30" s="15"/>
      <c r="G30" s="296">
        <f>H30-F30</f>
        <v>459</v>
      </c>
      <c r="H30" s="15">
        <v>459</v>
      </c>
      <c r="I30" s="297">
        <f>G30-J30</f>
        <v>140</v>
      </c>
      <c r="J30" s="15">
        <v>319</v>
      </c>
      <c r="K30" s="18"/>
      <c r="L30" s="93"/>
      <c r="M30" s="72"/>
      <c r="N30" s="72"/>
      <c r="O30" s="72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</row>
    <row r="31" spans="1:47" ht="12.75">
      <c r="A31" s="268"/>
      <c r="B31" s="20"/>
      <c r="C31" s="11"/>
      <c r="D31" s="298">
        <f aca="true" t="shared" si="1" ref="D31:J31">SUM(D28:D30)</f>
        <v>42</v>
      </c>
      <c r="E31" s="298">
        <f t="shared" si="1"/>
        <v>122859</v>
      </c>
      <c r="F31" s="298">
        <f t="shared" si="1"/>
        <v>690</v>
      </c>
      <c r="G31" s="298">
        <f t="shared" si="1"/>
        <v>14741</v>
      </c>
      <c r="H31" s="298">
        <f t="shared" si="1"/>
        <v>15431</v>
      </c>
      <c r="I31" s="298">
        <f t="shared" si="1"/>
        <v>4511</v>
      </c>
      <c r="J31" s="298">
        <f t="shared" si="1"/>
        <v>10230</v>
      </c>
      <c r="K31" s="22"/>
      <c r="L31" s="93"/>
      <c r="M31" s="72"/>
      <c r="N31" s="72"/>
      <c r="O31" s="72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</row>
    <row r="32" spans="1:47" ht="6.75" customHeight="1">
      <c r="A32" s="268"/>
      <c r="B32" s="20"/>
      <c r="C32" s="5"/>
      <c r="D32" s="13"/>
      <c r="E32" s="6"/>
      <c r="F32" s="6"/>
      <c r="G32" s="6"/>
      <c r="H32" s="13"/>
      <c r="I32" s="13"/>
      <c r="J32" s="3"/>
      <c r="K32" s="38"/>
      <c r="L32" s="93"/>
      <c r="M32" s="72"/>
      <c r="N32" s="72"/>
      <c r="O32" s="72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</row>
    <row r="33" spans="1:47" ht="12.75">
      <c r="A33" s="268"/>
      <c r="B33" s="35"/>
      <c r="C33" s="366" t="s">
        <v>7</v>
      </c>
      <c r="D33" s="366"/>
      <c r="E33" s="6"/>
      <c r="F33" s="42" t="s">
        <v>11</v>
      </c>
      <c r="G33" s="5" t="str">
        <f>"12%+3.67%"</f>
        <v>12%+3.67%</v>
      </c>
      <c r="H33" s="299">
        <f>H31</f>
        <v>15431</v>
      </c>
      <c r="I33" s="299">
        <f>I31</f>
        <v>4511</v>
      </c>
      <c r="J33" s="300">
        <f>SUM(H33:I33)</f>
        <v>19942</v>
      </c>
      <c r="K33" s="37"/>
      <c r="L33" s="93"/>
      <c r="M33" s="72"/>
      <c r="N33" s="72"/>
      <c r="O33" s="72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</row>
    <row r="34" spans="1:47" ht="12.75">
      <c r="A34" s="268"/>
      <c r="B34" s="20"/>
      <c r="C34" s="6"/>
      <c r="D34" s="6"/>
      <c r="E34" s="6"/>
      <c r="F34" s="42" t="s">
        <v>12</v>
      </c>
      <c r="G34" s="4" t="str">
        <f>"1.1 %"</f>
        <v>1.1 %</v>
      </c>
      <c r="H34" s="300"/>
      <c r="I34" s="300">
        <f>ROUND(SUM(E31*1.1%),0)</f>
        <v>1351</v>
      </c>
      <c r="J34" s="300">
        <f>SUM(H34:I34)</f>
        <v>1351</v>
      </c>
      <c r="K34" s="37"/>
      <c r="L34" s="93"/>
      <c r="M34" s="72"/>
      <c r="N34" s="72"/>
      <c r="O34" s="72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</row>
    <row r="35" spans="1:47" ht="12.75">
      <c r="A35" s="268"/>
      <c r="B35" s="284" t="s">
        <v>8</v>
      </c>
      <c r="C35" s="285">
        <f>I4</f>
        <v>40318</v>
      </c>
      <c r="D35" s="5">
        <f>H9</f>
        <v>46</v>
      </c>
      <c r="E35" s="6"/>
      <c r="F35" s="42" t="s">
        <v>13</v>
      </c>
      <c r="G35" s="4" t="str">
        <f>"8.33 %"</f>
        <v>8.33 %</v>
      </c>
      <c r="H35" s="300"/>
      <c r="I35" s="300">
        <f>J31</f>
        <v>10230</v>
      </c>
      <c r="J35" s="300">
        <f>SUM(H35:I35)</f>
        <v>10230</v>
      </c>
      <c r="K35" s="37"/>
      <c r="L35" s="93"/>
      <c r="M35" s="72"/>
      <c r="N35" s="72"/>
      <c r="O35" s="72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</row>
    <row r="36" spans="1:47" ht="12.75">
      <c r="A36" s="268"/>
      <c r="B36" s="284" t="s">
        <v>16</v>
      </c>
      <c r="C36" s="285">
        <f>J4</f>
        <v>40349</v>
      </c>
      <c r="D36" s="5">
        <f>J9</f>
        <v>0</v>
      </c>
      <c r="E36" s="6"/>
      <c r="F36" s="42" t="s">
        <v>14</v>
      </c>
      <c r="G36" s="4" t="str">
        <f>"0.5 %"</f>
        <v>0.5 %</v>
      </c>
      <c r="H36" s="300"/>
      <c r="I36" s="300">
        <f>ROUND(SUM(E31*0.5%),0)</f>
        <v>614</v>
      </c>
      <c r="J36" s="300">
        <f>SUM(H36:I36)</f>
        <v>614</v>
      </c>
      <c r="K36" s="37"/>
      <c r="L36" s="93"/>
      <c r="M36" s="72"/>
      <c r="N36" s="72"/>
      <c r="O36" s="72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</row>
    <row r="37" spans="1:47" ht="12.75">
      <c r="A37" s="268"/>
      <c r="B37" s="284" t="s">
        <v>9</v>
      </c>
      <c r="C37" s="285">
        <f>I4</f>
        <v>40318</v>
      </c>
      <c r="D37" s="5">
        <f>I9</f>
        <v>4</v>
      </c>
      <c r="E37" s="6"/>
      <c r="F37" s="42" t="s">
        <v>15</v>
      </c>
      <c r="G37" s="4" t="str">
        <f>"0.01%"</f>
        <v>0.01%</v>
      </c>
      <c r="H37" s="300"/>
      <c r="I37" s="300">
        <f>IF(ROUND(SUM(E31*0.01%),0)&lt;(2),2,(ROUND(SUM(E31*0.01%),0)))</f>
        <v>12</v>
      </c>
      <c r="J37" s="300">
        <f>SUM(H37:I37)</f>
        <v>12</v>
      </c>
      <c r="K37" s="37"/>
      <c r="L37" s="93"/>
      <c r="M37" s="72"/>
      <c r="N37" s="72"/>
      <c r="O37" s="72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</row>
    <row r="38" spans="1:47" ht="12.75">
      <c r="A38" s="268"/>
      <c r="B38" s="20"/>
      <c r="C38" s="43" t="s">
        <v>10</v>
      </c>
      <c r="D38" s="44">
        <f>SUM((D35+D36)-D37)</f>
        <v>42</v>
      </c>
      <c r="E38" s="6"/>
      <c r="F38" s="45"/>
      <c r="G38" s="46"/>
      <c r="H38" s="301">
        <f>SUM(H33:H37)</f>
        <v>15431</v>
      </c>
      <c r="I38" s="301">
        <f>SUM(I33:I37)</f>
        <v>16718</v>
      </c>
      <c r="J38" s="302">
        <f>SUM(J33:J37)</f>
        <v>32149</v>
      </c>
      <c r="K38" s="38"/>
      <c r="L38" s="93"/>
      <c r="M38" s="72"/>
      <c r="N38" s="72"/>
      <c r="O38" s="72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</row>
    <row r="39" spans="1:47" ht="6" customHeight="1">
      <c r="A39" s="268"/>
      <c r="B39" s="325"/>
      <c r="C39" s="326"/>
      <c r="D39" s="327" t="str">
        <f>IF((D31)-(D38)=(0)," ","check again, your total employee is not matching")</f>
        <v> </v>
      </c>
      <c r="E39" s="328"/>
      <c r="F39" s="328"/>
      <c r="G39" s="328"/>
      <c r="H39" s="327"/>
      <c r="I39" s="327"/>
      <c r="J39" s="329"/>
      <c r="K39" s="330"/>
      <c r="L39" s="93"/>
      <c r="M39" s="72"/>
      <c r="N39" s="72"/>
      <c r="O39" s="72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</row>
    <row r="40" spans="1:47" ht="18" customHeight="1">
      <c r="A40" s="268"/>
      <c r="B40" s="20"/>
      <c r="C40" s="361" t="s">
        <v>7</v>
      </c>
      <c r="D40" s="361"/>
      <c r="E40" s="76"/>
      <c r="F40" s="322" t="s">
        <v>11</v>
      </c>
      <c r="G40" s="323" t="str">
        <f>"12%+3.67%"</f>
        <v>12%+3.67%</v>
      </c>
      <c r="H40" s="324">
        <f>H33+H21</f>
        <v>42798</v>
      </c>
      <c r="I40" s="324">
        <f>I33+I21</f>
        <v>12403</v>
      </c>
      <c r="J40" s="323">
        <f>SUM(H40:I40)</f>
        <v>55201</v>
      </c>
      <c r="K40" s="38"/>
      <c r="L40" s="93"/>
      <c r="M40" s="72"/>
      <c r="N40" s="72"/>
      <c r="O40" s="72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</row>
    <row r="41" spans="1:47" ht="18" customHeight="1">
      <c r="A41" s="268"/>
      <c r="B41" s="20"/>
      <c r="C41" s="76"/>
      <c r="D41" s="76"/>
      <c r="E41" s="76"/>
      <c r="F41" s="322" t="s">
        <v>12</v>
      </c>
      <c r="G41" s="294" t="str">
        <f>"1.1 %"</f>
        <v>1.1 %</v>
      </c>
      <c r="H41" s="323"/>
      <c r="I41" s="323">
        <f>I34+I22</f>
        <v>3717</v>
      </c>
      <c r="J41" s="323">
        <f>SUM(H41:I41)</f>
        <v>3717</v>
      </c>
      <c r="K41" s="38"/>
      <c r="L41" s="93"/>
      <c r="M41" s="72"/>
      <c r="N41" s="72"/>
      <c r="O41" s="72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</row>
    <row r="42" spans="1:47" ht="18" customHeight="1">
      <c r="A42" s="268"/>
      <c r="B42" s="20"/>
      <c r="C42" s="78" t="s">
        <v>8</v>
      </c>
      <c r="D42" s="77">
        <f>D35+D23</f>
        <v>265</v>
      </c>
      <c r="E42" s="76"/>
      <c r="F42" s="322" t="s">
        <v>13</v>
      </c>
      <c r="G42" s="294" t="str">
        <f>"8.33 %"</f>
        <v>8.33 %</v>
      </c>
      <c r="H42" s="323"/>
      <c r="I42" s="323">
        <f>I35+I23</f>
        <v>28145</v>
      </c>
      <c r="J42" s="323">
        <f>SUM(H42:I42)</f>
        <v>28145</v>
      </c>
      <c r="K42" s="38"/>
      <c r="L42" s="93"/>
      <c r="M42" s="72"/>
      <c r="N42" s="72"/>
      <c r="O42" s="72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</row>
    <row r="43" spans="1:47" ht="18" customHeight="1">
      <c r="A43" s="268"/>
      <c r="B43" s="20"/>
      <c r="C43" s="78" t="s">
        <v>16</v>
      </c>
      <c r="D43" s="77">
        <f>D36+D24</f>
        <v>1</v>
      </c>
      <c r="E43" s="76"/>
      <c r="F43" s="322" t="s">
        <v>14</v>
      </c>
      <c r="G43" s="294" t="str">
        <f>"0.5 %"</f>
        <v>0.5 %</v>
      </c>
      <c r="H43" s="323"/>
      <c r="I43" s="323">
        <f>I36+I24</f>
        <v>1690</v>
      </c>
      <c r="J43" s="323">
        <f>SUM(H43:I43)</f>
        <v>1690</v>
      </c>
      <c r="K43" s="38"/>
      <c r="L43" s="93"/>
      <c r="M43" s="72"/>
      <c r="N43" s="72"/>
      <c r="O43" s="72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</row>
    <row r="44" spans="1:47" ht="18" customHeight="1">
      <c r="A44" s="268"/>
      <c r="B44" s="20"/>
      <c r="C44" s="78" t="s">
        <v>9</v>
      </c>
      <c r="D44" s="77">
        <f>D37+D25</f>
        <v>91</v>
      </c>
      <c r="E44" s="76"/>
      <c r="F44" s="322" t="s">
        <v>15</v>
      </c>
      <c r="G44" s="294" t="str">
        <f>"0.01%"</f>
        <v>0.01%</v>
      </c>
      <c r="H44" s="323"/>
      <c r="I44" s="323">
        <f>I37+I25</f>
        <v>34</v>
      </c>
      <c r="J44" s="323">
        <f>SUM(H44:I44)</f>
        <v>34</v>
      </c>
      <c r="K44" s="38"/>
      <c r="L44" s="93"/>
      <c r="M44" s="72"/>
      <c r="N44" s="72"/>
      <c r="O44" s="72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</row>
    <row r="45" spans="1:47" ht="18" customHeight="1" thickBot="1">
      <c r="A45" s="268"/>
      <c r="B45" s="20"/>
      <c r="C45" s="79" t="s">
        <v>10</v>
      </c>
      <c r="D45" s="80">
        <f>SUM((D42+D43)-D44)</f>
        <v>175</v>
      </c>
      <c r="E45" s="76"/>
      <c r="F45" s="81"/>
      <c r="G45" s="82"/>
      <c r="H45" s="83">
        <f>SUM(H40:H44)</f>
        <v>42798</v>
      </c>
      <c r="I45" s="83">
        <f>SUM(I40:I44)</f>
        <v>45989</v>
      </c>
      <c r="J45" s="80">
        <f>SUM(J40:J44)</f>
        <v>88787</v>
      </c>
      <c r="K45" s="38"/>
      <c r="L45" s="93"/>
      <c r="M45" s="72"/>
      <c r="N45" s="72"/>
      <c r="O45" s="72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</row>
    <row r="46" spans="1:47" ht="27" customHeight="1" thickBot="1" thickTop="1">
      <c r="A46" s="271"/>
      <c r="B46" s="363" t="s">
        <v>24</v>
      </c>
      <c r="C46" s="364"/>
      <c r="D46" s="314">
        <f>D31+D19</f>
        <v>175</v>
      </c>
      <c r="E46" s="314">
        <f>E31+E19</f>
        <v>337965</v>
      </c>
      <c r="F46" s="314">
        <f>F31+F19</f>
        <v>2250</v>
      </c>
      <c r="G46" s="314">
        <f>G31+G19</f>
        <v>40548</v>
      </c>
      <c r="H46" s="314">
        <f>G46+F46</f>
        <v>42798</v>
      </c>
      <c r="I46" s="314">
        <f>I31+I19</f>
        <v>12403</v>
      </c>
      <c r="J46" s="314">
        <f>J31+J19</f>
        <v>28145</v>
      </c>
      <c r="K46" s="75"/>
      <c r="L46" s="92"/>
      <c r="M46" s="71"/>
      <c r="N46" s="71"/>
      <c r="O46" s="71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</row>
    <row r="47" spans="1:47" ht="4.5" customHeight="1" thickBot="1">
      <c r="A47" s="63"/>
      <c r="B47" s="57"/>
      <c r="C47" s="58"/>
      <c r="D47" s="59"/>
      <c r="E47" s="59"/>
      <c r="F47" s="59"/>
      <c r="G47" s="59"/>
      <c r="H47" s="59"/>
      <c r="I47" s="59"/>
      <c r="J47" s="59"/>
      <c r="K47" s="60"/>
      <c r="L47" s="92"/>
      <c r="M47" s="71"/>
      <c r="N47" s="71"/>
      <c r="O47" s="71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</row>
    <row r="48" spans="1:47" ht="18" customHeight="1">
      <c r="A48" s="63"/>
      <c r="B48" s="379" t="s">
        <v>293</v>
      </c>
      <c r="C48" s="380"/>
      <c r="D48" s="380"/>
      <c r="E48" s="380"/>
      <c r="F48" s="380"/>
      <c r="G48" s="380"/>
      <c r="H48" s="380"/>
      <c r="I48" s="380"/>
      <c r="J48" s="380"/>
      <c r="K48" s="365"/>
      <c r="L48" s="91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</row>
    <row r="49" spans="1:47" ht="11.25" customHeight="1">
      <c r="A49" s="63"/>
      <c r="B49" s="30"/>
      <c r="C49" s="31"/>
      <c r="D49" s="31"/>
      <c r="E49" s="31"/>
      <c r="F49" s="31"/>
      <c r="G49" s="31"/>
      <c r="H49" s="31"/>
      <c r="I49" s="31"/>
      <c r="J49" s="31"/>
      <c r="K49" s="32"/>
      <c r="L49" s="92"/>
      <c r="M49" s="7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</row>
    <row r="50" spans="1:47" ht="13.5" thickBot="1">
      <c r="A50" s="63"/>
      <c r="B50" s="53" t="s">
        <v>19</v>
      </c>
      <c r="C50" s="54" t="s">
        <v>18</v>
      </c>
      <c r="D50" s="54" t="s">
        <v>22</v>
      </c>
      <c r="E50" s="55" t="s">
        <v>3</v>
      </c>
      <c r="F50" s="55" t="str">
        <f>"1.75%"</f>
        <v>1.75%</v>
      </c>
      <c r="G50" s="55" t="str">
        <f>"4.75%"</f>
        <v>4.75%</v>
      </c>
      <c r="H50" s="55" t="s">
        <v>6</v>
      </c>
      <c r="I50" s="55"/>
      <c r="J50" s="55"/>
      <c r="K50" s="56"/>
      <c r="L50" s="94"/>
      <c r="M50" s="74"/>
      <c r="N50" s="65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</row>
    <row r="51" spans="1:47" ht="11.25" customHeight="1" thickTop="1">
      <c r="A51" s="63"/>
      <c r="B51" s="24"/>
      <c r="C51" s="7"/>
      <c r="D51" s="7"/>
      <c r="E51" s="7"/>
      <c r="F51" s="7"/>
      <c r="H51" s="7"/>
      <c r="I51" s="7"/>
      <c r="J51" s="6"/>
      <c r="K51" s="25"/>
      <c r="L51" s="94"/>
      <c r="M51" s="74"/>
      <c r="N51" s="65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</row>
    <row r="52" spans="1:47" ht="12.75">
      <c r="A52" s="63"/>
      <c r="B52" s="34" t="s">
        <v>20</v>
      </c>
      <c r="C52" s="14" t="s">
        <v>0</v>
      </c>
      <c r="D52" s="9">
        <v>25</v>
      </c>
      <c r="E52" s="9">
        <v>78821</v>
      </c>
      <c r="F52" s="12">
        <v>1379.6</v>
      </c>
      <c r="G52" s="12"/>
      <c r="H52" s="12"/>
      <c r="I52" s="12"/>
      <c r="K52" s="18"/>
      <c r="L52" s="92"/>
      <c r="M52" s="71"/>
      <c r="N52" s="67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</row>
    <row r="53" spans="1:47" ht="12.75">
      <c r="A53" s="63"/>
      <c r="B53" s="19"/>
      <c r="C53" s="14" t="s">
        <v>1</v>
      </c>
      <c r="D53" s="9">
        <v>37</v>
      </c>
      <c r="E53" s="9">
        <v>107951</v>
      </c>
      <c r="F53" s="12">
        <v>1889.55</v>
      </c>
      <c r="H53" s="260"/>
      <c r="K53" s="18"/>
      <c r="L53" s="92"/>
      <c r="M53" s="71"/>
      <c r="N53" s="67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</row>
    <row r="54" spans="1:47" ht="12.75">
      <c r="A54" s="63"/>
      <c r="B54" s="19"/>
      <c r="C54" s="14" t="s">
        <v>2</v>
      </c>
      <c r="D54" s="9">
        <v>43</v>
      </c>
      <c r="E54" s="9">
        <v>112440</v>
      </c>
      <c r="F54" s="12">
        <v>1968.1</v>
      </c>
      <c r="H54" s="260"/>
      <c r="K54" s="18"/>
      <c r="L54" s="92"/>
      <c r="M54" s="71"/>
      <c r="N54" s="67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</row>
    <row r="55" spans="1:47" ht="12.75">
      <c r="A55" s="63"/>
      <c r="B55" s="19"/>
      <c r="C55" s="14" t="s">
        <v>291</v>
      </c>
      <c r="D55" s="9">
        <v>10</v>
      </c>
      <c r="E55" s="9">
        <v>26125</v>
      </c>
      <c r="F55" s="12">
        <v>457.45</v>
      </c>
      <c r="G55" s="266"/>
      <c r="H55" s="273"/>
      <c r="I55" s="273"/>
      <c r="J55" s="261"/>
      <c r="K55" s="18"/>
      <c r="L55" s="92"/>
      <c r="M55" s="71"/>
      <c r="N55" s="67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</row>
    <row r="56" spans="1:47" ht="12.75">
      <c r="A56" s="63"/>
      <c r="B56" s="19"/>
      <c r="C56" s="14"/>
      <c r="D56" s="303">
        <f>SUM(D52:D55)</f>
        <v>115</v>
      </c>
      <c r="E56" s="303">
        <f>SUM(E52:E55)</f>
        <v>325337</v>
      </c>
      <c r="F56" s="304">
        <f>SUM(F52:F55)</f>
        <v>5694.7</v>
      </c>
      <c r="G56" s="12"/>
      <c r="H56" s="9"/>
      <c r="I56" s="10"/>
      <c r="K56" s="21"/>
      <c r="L56" s="84"/>
      <c r="M56" s="95">
        <f>CEILING(H56,1)</f>
        <v>0</v>
      </c>
      <c r="N56" s="7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</row>
    <row r="57" spans="1:47" ht="12.75">
      <c r="A57" s="63"/>
      <c r="B57" s="19"/>
      <c r="C57" s="7" t="s">
        <v>288</v>
      </c>
      <c r="D57" s="7"/>
      <c r="E57" s="264"/>
      <c r="F57" s="264"/>
      <c r="G57" s="266"/>
      <c r="H57" s="7"/>
      <c r="I57" s="7"/>
      <c r="J57" s="261"/>
      <c r="K57" s="18"/>
      <c r="L57" s="92"/>
      <c r="M57" s="71"/>
      <c r="N57" s="67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</row>
    <row r="58" spans="1:47" ht="12.75">
      <c r="A58" s="63"/>
      <c r="B58" s="19"/>
      <c r="C58" s="7" t="s">
        <v>289</v>
      </c>
      <c r="D58" s="274"/>
      <c r="E58" s="274"/>
      <c r="F58" s="275"/>
      <c r="G58" s="266"/>
      <c r="H58" s="273"/>
      <c r="I58" s="273"/>
      <c r="J58" s="261"/>
      <c r="K58" s="18"/>
      <c r="L58" s="92"/>
      <c r="M58" s="71"/>
      <c r="N58" s="67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</row>
    <row r="59" spans="1:47" ht="12.75">
      <c r="A59" s="63"/>
      <c r="B59" s="19"/>
      <c r="C59" s="14"/>
      <c r="D59" s="15"/>
      <c r="E59" s="276">
        <f>SUM(E57:E58)</f>
        <v>0</v>
      </c>
      <c r="F59" s="276">
        <f>SUM(F57:F58)</f>
        <v>0</v>
      </c>
      <c r="G59" s="263"/>
      <c r="H59" s="262"/>
      <c r="I59" s="262"/>
      <c r="J59" s="261"/>
      <c r="K59" s="18"/>
      <c r="L59" s="92"/>
      <c r="M59" s="71"/>
      <c r="N59" s="67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</row>
    <row r="60" spans="1:47" ht="12.75">
      <c r="A60" s="63"/>
      <c r="B60" s="20"/>
      <c r="C60" s="11"/>
      <c r="D60" s="296">
        <f>D56+D59</f>
        <v>115</v>
      </c>
      <c r="E60" s="305">
        <f>E56+E59</f>
        <v>325337</v>
      </c>
      <c r="F60" s="305">
        <f>F56+F59</f>
        <v>5694.7</v>
      </c>
      <c r="G60" s="296">
        <f>CEILING(SUM(E60*4.75%),0.05)</f>
        <v>15453.550000000001</v>
      </c>
      <c r="H60" s="296">
        <f>SUM(F60:G60)</f>
        <v>21148.25</v>
      </c>
      <c r="I60" s="298"/>
      <c r="K60" s="21"/>
      <c r="L60" s="84"/>
      <c r="M60" s="95">
        <f>CEILING(H60,1)</f>
        <v>21149</v>
      </c>
      <c r="N60" s="7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</row>
    <row r="61" spans="1:47" ht="12.75">
      <c r="A61" s="63"/>
      <c r="B61" s="20"/>
      <c r="C61" s="11"/>
      <c r="D61" s="298"/>
      <c r="E61" s="298"/>
      <c r="F61" s="306" t="s">
        <v>17</v>
      </c>
      <c r="G61" s="305">
        <f>M60-H60</f>
        <v>0.75</v>
      </c>
      <c r="H61" s="298"/>
      <c r="I61" s="298"/>
      <c r="K61" s="22"/>
      <c r="L61" s="84"/>
      <c r="M61" s="96"/>
      <c r="N61" s="73">
        <f>M62-M60</f>
        <v>0</v>
      </c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</row>
    <row r="62" spans="1:47" ht="12.75">
      <c r="A62" s="63"/>
      <c r="B62" s="20"/>
      <c r="C62" s="11"/>
      <c r="D62" s="307">
        <f>D60</f>
        <v>115</v>
      </c>
      <c r="E62" s="303">
        <f>E60</f>
        <v>325337</v>
      </c>
      <c r="F62" s="304">
        <f>F60</f>
        <v>5694.7</v>
      </c>
      <c r="G62" s="304">
        <f>SUM(G60:G61)</f>
        <v>15454.300000000001</v>
      </c>
      <c r="H62" s="304">
        <f>SUM(F62:G62)</f>
        <v>21149</v>
      </c>
      <c r="I62" s="308"/>
      <c r="K62" s="21"/>
      <c r="L62" s="84"/>
      <c r="M62" s="95">
        <f>ROUND(H62,0)</f>
        <v>21149</v>
      </c>
      <c r="N62" s="7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</row>
    <row r="63" spans="1:47" ht="7.5" customHeight="1">
      <c r="A63" s="63"/>
      <c r="B63" s="20"/>
      <c r="C63" s="11"/>
      <c r="D63" s="10"/>
      <c r="E63" s="10"/>
      <c r="F63" s="17"/>
      <c r="G63" s="11"/>
      <c r="H63" s="10"/>
      <c r="I63" s="10"/>
      <c r="J63" s="6"/>
      <c r="K63" s="22"/>
      <c r="L63" s="84"/>
      <c r="M63" s="92"/>
      <c r="N63" s="7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</row>
    <row r="64" spans="1:47" ht="12.75">
      <c r="A64" s="63"/>
      <c r="B64" s="35" t="s">
        <v>21</v>
      </c>
      <c r="C64" s="14" t="s">
        <v>0</v>
      </c>
      <c r="D64" s="9">
        <v>13</v>
      </c>
      <c r="E64" s="9">
        <v>39465</v>
      </c>
      <c r="F64" s="12">
        <v>690.85</v>
      </c>
      <c r="G64" s="12"/>
      <c r="H64" s="12"/>
      <c r="I64" s="12"/>
      <c r="J64" s="6"/>
      <c r="K64" s="18"/>
      <c r="L64" s="84"/>
      <c r="M64" s="92"/>
      <c r="N64" s="7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</row>
    <row r="65" spans="1:47" ht="12.75">
      <c r="A65" s="63"/>
      <c r="B65" s="20"/>
      <c r="C65" s="14" t="s">
        <v>1</v>
      </c>
      <c r="D65" s="9">
        <v>20</v>
      </c>
      <c r="E65" s="9">
        <v>69758</v>
      </c>
      <c r="F65" s="12">
        <v>1221.05</v>
      </c>
      <c r="G65" s="12"/>
      <c r="H65" s="12"/>
      <c r="I65" s="12"/>
      <c r="J65" s="6"/>
      <c r="K65" s="18"/>
      <c r="L65" s="84"/>
      <c r="M65" s="92"/>
      <c r="N65" s="7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</row>
    <row r="66" spans="1:47" ht="12.75">
      <c r="A66" s="63"/>
      <c r="B66" s="20"/>
      <c r="C66" s="14" t="s">
        <v>2</v>
      </c>
      <c r="D66" s="15"/>
      <c r="E66" s="15"/>
      <c r="F66" s="16"/>
      <c r="G66" s="16"/>
      <c r="H66" s="16"/>
      <c r="I66" s="16"/>
      <c r="J66" s="6"/>
      <c r="K66" s="18"/>
      <c r="L66" s="84"/>
      <c r="M66" s="92"/>
      <c r="N66" s="7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</row>
    <row r="67" spans="1:47" ht="12.75">
      <c r="A67" s="63"/>
      <c r="B67" s="20"/>
      <c r="C67" s="11"/>
      <c r="D67" s="296">
        <f>SUM(D64:D66)</f>
        <v>33</v>
      </c>
      <c r="E67" s="296">
        <f>SUM(E64:E66)</f>
        <v>109223</v>
      </c>
      <c r="F67" s="305">
        <f>SUM(F64:F66)</f>
        <v>1911.9</v>
      </c>
      <c r="G67" s="296">
        <f>CEILING(SUM(E67*4.75%),0.05)</f>
        <v>5188.1</v>
      </c>
      <c r="H67" s="305">
        <f>SUM(F67:G67)</f>
        <v>7100</v>
      </c>
      <c r="I67" s="309"/>
      <c r="J67" s="6"/>
      <c r="K67" s="22"/>
      <c r="L67" s="84"/>
      <c r="M67" s="95">
        <f>CEILING(H67,1)</f>
        <v>7100</v>
      </c>
      <c r="N67" s="7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</row>
    <row r="68" spans="1:47" ht="12.75">
      <c r="A68" s="63"/>
      <c r="B68" s="20"/>
      <c r="C68" s="11"/>
      <c r="D68" s="298"/>
      <c r="E68" s="298"/>
      <c r="F68" s="306" t="s">
        <v>17</v>
      </c>
      <c r="G68" s="305">
        <f>M67-H67</f>
        <v>0</v>
      </c>
      <c r="H68" s="298"/>
      <c r="I68" s="298"/>
      <c r="J68" s="6"/>
      <c r="K68" s="22"/>
      <c r="L68" s="84"/>
      <c r="M68" s="92"/>
      <c r="N68" s="73">
        <f>M69-M67</f>
        <v>0</v>
      </c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</row>
    <row r="69" spans="1:47" ht="12.75">
      <c r="A69" s="63"/>
      <c r="B69" s="20"/>
      <c r="C69" s="11"/>
      <c r="D69" s="307">
        <f>D67</f>
        <v>33</v>
      </c>
      <c r="E69" s="303">
        <f>E67</f>
        <v>109223</v>
      </c>
      <c r="F69" s="304">
        <f>F67</f>
        <v>1911.9</v>
      </c>
      <c r="G69" s="304">
        <f>SUM(G67:G68)</f>
        <v>5188.1</v>
      </c>
      <c r="H69" s="304">
        <f>SUM(F69:G69)</f>
        <v>7100</v>
      </c>
      <c r="I69" s="308"/>
      <c r="J69" s="6"/>
      <c r="K69" s="22"/>
      <c r="L69" s="84"/>
      <c r="M69" s="95">
        <f>ROUND(H69,0)</f>
        <v>7100</v>
      </c>
      <c r="N69" s="7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</row>
    <row r="70" spans="1:47" ht="6.75" customHeight="1" thickBot="1">
      <c r="A70" s="63"/>
      <c r="B70" s="27"/>
      <c r="C70" s="28"/>
      <c r="D70" s="310"/>
      <c r="E70" s="310"/>
      <c r="F70" s="310"/>
      <c r="G70" s="310"/>
      <c r="H70" s="310"/>
      <c r="I70" s="310"/>
      <c r="J70" s="39"/>
      <c r="K70" s="29"/>
      <c r="L70" s="91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</row>
    <row r="71" spans="1:47" ht="18" customHeight="1" thickBot="1" thickTop="1">
      <c r="A71" s="63"/>
      <c r="B71" s="33" t="s">
        <v>23</v>
      </c>
      <c r="C71" s="26"/>
      <c r="D71" s="311">
        <f>D69+D62</f>
        <v>148</v>
      </c>
      <c r="E71" s="312">
        <f>E69+E62</f>
        <v>434560</v>
      </c>
      <c r="F71" s="313">
        <f>F69+F62</f>
        <v>7606.6</v>
      </c>
      <c r="G71" s="313">
        <f>G69+G62</f>
        <v>20642.4</v>
      </c>
      <c r="H71" s="313">
        <f>H69+H62</f>
        <v>28249</v>
      </c>
      <c r="I71" s="313"/>
      <c r="J71" s="52"/>
      <c r="K71" s="23"/>
      <c r="L71" s="91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</row>
    <row r="72" spans="1:47" ht="21.75" customHeight="1" thickBot="1">
      <c r="A72" s="63"/>
      <c r="B72" s="316" t="s">
        <v>29</v>
      </c>
      <c r="C72" s="315"/>
      <c r="D72" s="317"/>
      <c r="E72" s="318" t="str">
        <f>"P.F.  Rs.     "&amp;(J38+J26)&amp;" /-           E.S.I.  Rs.  "&amp;(H62+H69)&amp;" /-"</f>
        <v>P.F.  Rs.     88787 /-           E.S.I.  Rs.  28249 /-</v>
      </c>
      <c r="F72" s="319"/>
      <c r="G72" s="319"/>
      <c r="H72" s="319"/>
      <c r="I72" s="319"/>
      <c r="J72" s="320"/>
      <c r="K72" s="321"/>
      <c r="L72" s="91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</row>
    <row r="73" spans="1:47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</row>
    <row r="74" spans="1:47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</row>
    <row r="75" spans="1:47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</row>
    <row r="76" spans="1:47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</row>
    <row r="77" spans="1:47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</row>
    <row r="78" spans="1:47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</row>
    <row r="79" spans="1:47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</row>
    <row r="80" spans="1:47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</row>
    <row r="81" spans="1:47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</row>
    <row r="82" spans="1:47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</row>
    <row r="83" spans="1:47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</row>
    <row r="84" spans="1:47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</row>
    <row r="85" spans="1:47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</row>
    <row r="86" spans="1:47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</row>
    <row r="87" spans="5:11" ht="12.75">
      <c r="E87" s="288"/>
      <c r="H87" s="289"/>
      <c r="K87" s="286"/>
    </row>
    <row r="88" spans="5:11" ht="12.75">
      <c r="E88" s="288"/>
      <c r="H88" s="289">
        <v>1</v>
      </c>
      <c r="I88" s="288" t="s">
        <v>183</v>
      </c>
      <c r="K88" s="286"/>
    </row>
    <row r="89" spans="3:11" ht="14.25">
      <c r="C89" s="290" t="s">
        <v>210</v>
      </c>
      <c r="D89" s="288">
        <f>TRUNC(MOD($C$90,10000000)/100000)</f>
        <v>0</v>
      </c>
      <c r="E89" s="292" t="str">
        <f>IF(ISNA(VLOOKUP($D89,$H$88:$I$1108,2,0))=TRUE," ",(VLOOKUP($D89,$H$88:$I$1108,2,0)&amp;" Lakh  "))</f>
        <v> </v>
      </c>
      <c r="H89" s="289">
        <v>2</v>
      </c>
      <c r="I89" s="288" t="s">
        <v>184</v>
      </c>
      <c r="K89" s="286"/>
    </row>
    <row r="90" spans="3:11" ht="14.25">
      <c r="C90" s="288">
        <f>'PF CHALLAN'!AO38</f>
        <v>0</v>
      </c>
      <c r="D90" s="288">
        <f>TRUNC(MOD($C$90,100000)/1000)</f>
        <v>0</v>
      </c>
      <c r="E90" s="292" t="str">
        <f>IF(ISNA(VLOOKUP($D90,$H$88:$I$1108,2,0))=TRUE," ",(VLOOKUP($D90,$H$88:$I$1108,2,0)&amp;" Thousand "))</f>
        <v> </v>
      </c>
      <c r="H90" s="289">
        <v>3</v>
      </c>
      <c r="I90" s="288" t="s">
        <v>185</v>
      </c>
      <c r="K90" s="286"/>
    </row>
    <row r="91" spans="4:11" ht="14.25">
      <c r="D91" s="288">
        <f>TRUNC(MOD($C$90,1000)/100)</f>
        <v>0</v>
      </c>
      <c r="E91" s="292" t="str">
        <f>IF(ISNA(VLOOKUP($D91,$H$88:$I$1108,2,0))=TRUE," ",(VLOOKUP($D91,$H$88:$I$1108,2,0)&amp;" Hundred "))</f>
        <v> </v>
      </c>
      <c r="H91" s="289">
        <v>4</v>
      </c>
      <c r="I91" s="288" t="s">
        <v>186</v>
      </c>
      <c r="K91" s="286"/>
    </row>
    <row r="92" spans="4:11" ht="14.25">
      <c r="D92" s="288">
        <f>TRUNC(MOD($C$90,100)/1)</f>
        <v>0</v>
      </c>
      <c r="E92" s="292" t="str">
        <f>IF(ISNA(VLOOKUP($D92,$H$88:$I$1108,2,0))=TRUE," ",(VLOOKUP($D92,$H$88:$I$1108,2,0)))</f>
        <v> </v>
      </c>
      <c r="H92" s="289">
        <v>5</v>
      </c>
      <c r="I92" s="288" t="s">
        <v>187</v>
      </c>
      <c r="K92" s="286"/>
    </row>
    <row r="93" spans="8:11" ht="12.75">
      <c r="H93" s="289">
        <v>6</v>
      </c>
      <c r="I93" s="288" t="s">
        <v>188</v>
      </c>
      <c r="K93" s="286"/>
    </row>
    <row r="94" spans="8:11" ht="12.75">
      <c r="H94" s="289">
        <v>7</v>
      </c>
      <c r="I94" s="288" t="s">
        <v>189</v>
      </c>
      <c r="K94" s="286"/>
    </row>
    <row r="95" spans="1:11" ht="12.75">
      <c r="A95" s="288" t="str">
        <f>"Rs."&amp;E89&amp;E90&amp;E91&amp;E92&amp;" Only"</f>
        <v>Rs.     Only</v>
      </c>
      <c r="H95" s="289">
        <v>8</v>
      </c>
      <c r="I95" s="288" t="s">
        <v>190</v>
      </c>
      <c r="K95" s="286"/>
    </row>
    <row r="96" spans="8:11" ht="12.75">
      <c r="H96" s="289">
        <v>9</v>
      </c>
      <c r="I96" s="288" t="s">
        <v>191</v>
      </c>
      <c r="K96" s="286"/>
    </row>
    <row r="97" spans="3:11" ht="14.25">
      <c r="C97" s="290" t="s">
        <v>211</v>
      </c>
      <c r="D97" s="288" t="e">
        <f>TRUNC(MOD($C$98,10000000)/100000)</f>
        <v>#REF!</v>
      </c>
      <c r="E97" s="292" t="e">
        <f>IF(ISNA(VLOOKUP($D97,$H$88:$I$1108,2,0))=TRUE," ",(VLOOKUP($D97,$H$88:$I$1108,2,0)&amp;" Lakh  "))</f>
        <v>#REF!</v>
      </c>
      <c r="H97" s="289">
        <v>10</v>
      </c>
      <c r="I97" s="288" t="s">
        <v>192</v>
      </c>
      <c r="K97" s="286"/>
    </row>
    <row r="98" spans="3:11" ht="14.25">
      <c r="C98" s="291" t="e">
        <f>'ESI -CHALLAN'!#REF!</f>
        <v>#REF!</v>
      </c>
      <c r="D98" s="288" t="e">
        <f>TRUNC(MOD($C$98,100000)/1000)</f>
        <v>#REF!</v>
      </c>
      <c r="E98" s="292" t="e">
        <f>IF(ISNA(VLOOKUP($D98,$H$88:$I$1108,2,0))=TRUE," ",(VLOOKUP($D98,$H$88:$I$1108,2,0)&amp;" Thousand "))</f>
        <v>#REF!</v>
      </c>
      <c r="H98" s="289">
        <v>11</v>
      </c>
      <c r="I98" s="288" t="s">
        <v>193</v>
      </c>
      <c r="K98" s="286"/>
    </row>
    <row r="99" spans="4:11" ht="14.25">
      <c r="D99" s="288" t="e">
        <f>TRUNC(MOD($C$98,1000)/100)</f>
        <v>#REF!</v>
      </c>
      <c r="E99" s="292" t="e">
        <f>IF(ISNA(VLOOKUP($D99,$H$88:$I$1108,2,0))=TRUE," ",(VLOOKUP($D99,$H$88:$I$1108,2,0)&amp;" Hundred "))</f>
        <v>#REF!</v>
      </c>
      <c r="H99" s="289">
        <v>12</v>
      </c>
      <c r="I99" s="288" t="s">
        <v>194</v>
      </c>
      <c r="K99" s="286"/>
    </row>
    <row r="100" spans="4:11" ht="14.25">
      <c r="D100" s="288" t="e">
        <f>TRUNC(MOD($C$98,100)/1)</f>
        <v>#REF!</v>
      </c>
      <c r="E100" s="292" t="e">
        <f>IF(ISNA(VLOOKUP($D100,$H$88:$I$1108,2,0))=TRUE," ",(VLOOKUP($D100,$H$88:$I$1108,2,0)))</f>
        <v>#REF!</v>
      </c>
      <c r="H100" s="289">
        <v>13</v>
      </c>
      <c r="I100" s="288" t="s">
        <v>195</v>
      </c>
      <c r="K100" s="286"/>
    </row>
    <row r="101" spans="8:11" ht="12.75">
      <c r="H101" s="289">
        <v>14</v>
      </c>
      <c r="I101" s="288" t="s">
        <v>196</v>
      </c>
      <c r="K101" s="286"/>
    </row>
    <row r="102" spans="1:11" ht="12.75">
      <c r="A102" s="288" t="e">
        <f>"Rs."&amp;E97&amp;E98&amp;E99&amp;E100&amp;" Only"</f>
        <v>#REF!</v>
      </c>
      <c r="H102" s="289">
        <v>15</v>
      </c>
      <c r="I102" s="288" t="s">
        <v>197</v>
      </c>
      <c r="K102" s="286"/>
    </row>
    <row r="103" spans="8:11" ht="12.75">
      <c r="H103" s="289">
        <v>16</v>
      </c>
      <c r="I103" s="288" t="s">
        <v>198</v>
      </c>
      <c r="K103" s="286"/>
    </row>
    <row r="104" spans="8:11" ht="12.75">
      <c r="H104" s="289">
        <v>17</v>
      </c>
      <c r="I104" s="288" t="s">
        <v>199</v>
      </c>
      <c r="K104" s="286"/>
    </row>
    <row r="105" spans="8:11" ht="12.75">
      <c r="H105" s="289">
        <v>18</v>
      </c>
      <c r="I105" s="288" t="s">
        <v>200</v>
      </c>
      <c r="K105" s="286"/>
    </row>
    <row r="106" spans="8:11" ht="12.75">
      <c r="H106" s="289">
        <v>19</v>
      </c>
      <c r="I106" s="288" t="s">
        <v>201</v>
      </c>
      <c r="K106" s="286"/>
    </row>
    <row r="107" spans="8:11" ht="12.75">
      <c r="H107" s="289">
        <v>20</v>
      </c>
      <c r="I107" s="288" t="s">
        <v>202</v>
      </c>
      <c r="K107" s="286"/>
    </row>
    <row r="108" spans="8:11" ht="12.75">
      <c r="H108" s="289">
        <v>21</v>
      </c>
      <c r="I108" s="288" t="s">
        <v>212</v>
      </c>
      <c r="K108" s="286"/>
    </row>
    <row r="109" spans="8:11" ht="12.75">
      <c r="H109" s="289">
        <v>22</v>
      </c>
      <c r="I109" s="288" t="s">
        <v>213</v>
      </c>
      <c r="K109" s="286"/>
    </row>
    <row r="110" spans="8:11" ht="12.75">
      <c r="H110" s="289">
        <v>23</v>
      </c>
      <c r="I110" s="288" t="s">
        <v>214</v>
      </c>
      <c r="K110" s="286"/>
    </row>
    <row r="111" spans="8:11" ht="12.75">
      <c r="H111" s="289">
        <v>24</v>
      </c>
      <c r="I111" s="288" t="s">
        <v>215</v>
      </c>
      <c r="K111" s="286"/>
    </row>
    <row r="112" spans="8:11" ht="12.75">
      <c r="H112" s="289">
        <v>25</v>
      </c>
      <c r="I112" s="288" t="s">
        <v>216</v>
      </c>
      <c r="K112" s="286"/>
    </row>
    <row r="113" spans="8:11" ht="12.75">
      <c r="H113" s="289">
        <v>26</v>
      </c>
      <c r="I113" s="288" t="s">
        <v>217</v>
      </c>
      <c r="K113" s="286"/>
    </row>
    <row r="114" spans="8:11" ht="12.75">
      <c r="H114" s="289">
        <v>27</v>
      </c>
      <c r="I114" s="288" t="s">
        <v>218</v>
      </c>
      <c r="K114" s="286"/>
    </row>
    <row r="115" spans="8:11" ht="12.75">
      <c r="H115" s="289">
        <v>28</v>
      </c>
      <c r="I115" s="288" t="s">
        <v>219</v>
      </c>
      <c r="K115" s="286"/>
    </row>
    <row r="116" spans="8:11" ht="12.75">
      <c r="H116" s="289">
        <v>29</v>
      </c>
      <c r="I116" s="288" t="s">
        <v>220</v>
      </c>
      <c r="K116" s="286"/>
    </row>
    <row r="117" spans="8:11" ht="12.75">
      <c r="H117" s="289">
        <v>30</v>
      </c>
      <c r="I117" s="288" t="s">
        <v>203</v>
      </c>
      <c r="K117" s="286"/>
    </row>
    <row r="118" spans="8:11" ht="12.75">
      <c r="H118" s="289">
        <v>31</v>
      </c>
      <c r="I118" s="288" t="s">
        <v>221</v>
      </c>
      <c r="K118" s="286"/>
    </row>
    <row r="119" spans="8:11" ht="12.75">
      <c r="H119" s="289">
        <v>32</v>
      </c>
      <c r="I119" s="288" t="s">
        <v>222</v>
      </c>
      <c r="K119" s="286"/>
    </row>
    <row r="120" spans="8:11" ht="12.75">
      <c r="H120" s="289">
        <v>33</v>
      </c>
      <c r="I120" s="288" t="s">
        <v>223</v>
      </c>
      <c r="K120" s="286"/>
    </row>
    <row r="121" spans="8:11" ht="12.75">
      <c r="H121" s="289">
        <v>34</v>
      </c>
      <c r="I121" s="288" t="s">
        <v>224</v>
      </c>
      <c r="K121" s="286"/>
    </row>
    <row r="122" spans="8:11" ht="12.75">
      <c r="H122" s="289">
        <v>35</v>
      </c>
      <c r="I122" s="288" t="s">
        <v>225</v>
      </c>
      <c r="K122" s="286"/>
    </row>
    <row r="123" spans="8:11" ht="12.75">
      <c r="H123" s="289">
        <v>36</v>
      </c>
      <c r="I123" s="288" t="s">
        <v>226</v>
      </c>
      <c r="K123" s="286"/>
    </row>
    <row r="124" spans="8:11" ht="12.75">
      <c r="H124" s="289">
        <v>37</v>
      </c>
      <c r="I124" s="288" t="s">
        <v>227</v>
      </c>
      <c r="K124" s="286"/>
    </row>
    <row r="125" spans="8:11" ht="12.75">
      <c r="H125" s="289">
        <v>38</v>
      </c>
      <c r="I125" s="288" t="s">
        <v>228</v>
      </c>
      <c r="K125" s="286"/>
    </row>
    <row r="126" spans="8:11" ht="12.75">
      <c r="H126" s="289">
        <v>39</v>
      </c>
      <c r="I126" s="288" t="s">
        <v>229</v>
      </c>
      <c r="K126" s="286"/>
    </row>
    <row r="127" spans="8:11" ht="12.75">
      <c r="H127" s="289">
        <v>40</v>
      </c>
      <c r="I127" s="288" t="s">
        <v>204</v>
      </c>
      <c r="K127" s="286"/>
    </row>
    <row r="128" spans="8:11" ht="12.75">
      <c r="H128" s="289">
        <v>41</v>
      </c>
      <c r="I128" s="288" t="s">
        <v>230</v>
      </c>
      <c r="K128" s="286"/>
    </row>
    <row r="129" spans="8:11" ht="12.75">
      <c r="H129" s="289">
        <v>42</v>
      </c>
      <c r="I129" s="288" t="s">
        <v>231</v>
      </c>
      <c r="K129" s="286"/>
    </row>
    <row r="130" spans="8:11" ht="12.75">
      <c r="H130" s="289">
        <v>43</v>
      </c>
      <c r="I130" s="288" t="s">
        <v>232</v>
      </c>
      <c r="K130" s="286"/>
    </row>
    <row r="131" spans="8:11" ht="12.75">
      <c r="H131" s="289">
        <v>44</v>
      </c>
      <c r="I131" s="288" t="s">
        <v>233</v>
      </c>
      <c r="K131" s="286"/>
    </row>
    <row r="132" spans="8:11" ht="12.75">
      <c r="H132" s="289">
        <v>45</v>
      </c>
      <c r="I132" s="288" t="s">
        <v>234</v>
      </c>
      <c r="K132" s="286"/>
    </row>
    <row r="133" spans="8:11" ht="12.75">
      <c r="H133" s="289">
        <v>46</v>
      </c>
      <c r="I133" s="288" t="s">
        <v>235</v>
      </c>
      <c r="K133" s="286"/>
    </row>
    <row r="134" spans="8:11" ht="12.75">
      <c r="H134" s="289">
        <v>47</v>
      </c>
      <c r="I134" s="288" t="s">
        <v>236</v>
      </c>
      <c r="K134" s="286"/>
    </row>
    <row r="135" spans="8:11" ht="12.75">
      <c r="H135" s="289">
        <v>48</v>
      </c>
      <c r="I135" s="288" t="s">
        <v>237</v>
      </c>
      <c r="K135" s="286"/>
    </row>
    <row r="136" spans="8:11" ht="12.75">
      <c r="H136" s="289">
        <v>49</v>
      </c>
      <c r="I136" s="288" t="s">
        <v>238</v>
      </c>
      <c r="K136" s="286"/>
    </row>
    <row r="137" spans="8:11" ht="12.75">
      <c r="H137" s="289">
        <v>50</v>
      </c>
      <c r="I137" s="288" t="s">
        <v>205</v>
      </c>
      <c r="K137" s="286"/>
    </row>
    <row r="138" spans="8:11" ht="12.75">
      <c r="H138" s="289">
        <v>51</v>
      </c>
      <c r="I138" s="288" t="s">
        <v>239</v>
      </c>
      <c r="K138" s="286"/>
    </row>
    <row r="139" spans="8:11" ht="12.75">
      <c r="H139" s="289">
        <v>52</v>
      </c>
      <c r="I139" s="288" t="s">
        <v>240</v>
      </c>
      <c r="K139" s="286"/>
    </row>
    <row r="140" spans="8:11" ht="12.75">
      <c r="H140" s="289">
        <v>53</v>
      </c>
      <c r="I140" s="288" t="s">
        <v>241</v>
      </c>
      <c r="K140" s="286"/>
    </row>
    <row r="141" spans="8:11" ht="12.75">
      <c r="H141" s="289">
        <v>54</v>
      </c>
      <c r="I141" s="288" t="s">
        <v>242</v>
      </c>
      <c r="K141" s="286"/>
    </row>
    <row r="142" spans="8:11" ht="12.75">
      <c r="H142" s="289">
        <v>55</v>
      </c>
      <c r="I142" s="288" t="s">
        <v>243</v>
      </c>
      <c r="K142" s="286"/>
    </row>
    <row r="143" spans="8:11" ht="12.75">
      <c r="H143" s="289">
        <v>56</v>
      </c>
      <c r="I143" s="288" t="s">
        <v>244</v>
      </c>
      <c r="K143" s="286"/>
    </row>
    <row r="144" spans="8:11" ht="12.75">
      <c r="H144" s="289">
        <v>57</v>
      </c>
      <c r="I144" s="288" t="s">
        <v>245</v>
      </c>
      <c r="K144" s="286"/>
    </row>
    <row r="145" spans="8:11" ht="12.75">
      <c r="H145" s="289">
        <v>58</v>
      </c>
      <c r="I145" s="288" t="s">
        <v>246</v>
      </c>
      <c r="K145" s="286"/>
    </row>
    <row r="146" spans="8:11" ht="12.75">
      <c r="H146" s="289">
        <v>59</v>
      </c>
      <c r="I146" s="288" t="s">
        <v>247</v>
      </c>
      <c r="K146" s="286"/>
    </row>
    <row r="147" spans="8:11" ht="12.75">
      <c r="H147" s="289">
        <v>60</v>
      </c>
      <c r="I147" s="288" t="s">
        <v>206</v>
      </c>
      <c r="K147" s="286"/>
    </row>
    <row r="148" spans="8:11" ht="12.75">
      <c r="H148" s="289">
        <v>61</v>
      </c>
      <c r="I148" s="288" t="s">
        <v>248</v>
      </c>
      <c r="K148" s="286"/>
    </row>
    <row r="149" spans="8:11" ht="12.75">
      <c r="H149" s="289">
        <v>62</v>
      </c>
      <c r="I149" s="288" t="s">
        <v>249</v>
      </c>
      <c r="K149" s="286"/>
    </row>
    <row r="150" spans="8:11" ht="12.75">
      <c r="H150" s="289">
        <v>63</v>
      </c>
      <c r="I150" s="288" t="s">
        <v>250</v>
      </c>
      <c r="K150" s="286"/>
    </row>
    <row r="151" spans="8:11" ht="12.75">
      <c r="H151" s="289">
        <v>64</v>
      </c>
      <c r="I151" s="288" t="s">
        <v>251</v>
      </c>
      <c r="K151" s="286"/>
    </row>
    <row r="152" spans="8:11" ht="12.75">
      <c r="H152" s="289">
        <v>65</v>
      </c>
      <c r="I152" s="288" t="s">
        <v>252</v>
      </c>
      <c r="K152" s="286"/>
    </row>
    <row r="153" spans="8:11" ht="12.75">
      <c r="H153" s="289">
        <v>66</v>
      </c>
      <c r="I153" s="288" t="s">
        <v>253</v>
      </c>
      <c r="K153" s="286"/>
    </row>
    <row r="154" spans="8:11" ht="12.75">
      <c r="H154" s="289">
        <v>67</v>
      </c>
      <c r="I154" s="288" t="s">
        <v>254</v>
      </c>
      <c r="K154" s="286"/>
    </row>
    <row r="155" spans="8:11" ht="12.75">
      <c r="H155" s="289">
        <v>68</v>
      </c>
      <c r="I155" s="288" t="s">
        <v>255</v>
      </c>
      <c r="K155" s="286"/>
    </row>
    <row r="156" spans="8:11" ht="12.75">
      <c r="H156" s="289">
        <v>69</v>
      </c>
      <c r="I156" s="288" t="s">
        <v>256</v>
      </c>
      <c r="K156" s="286"/>
    </row>
    <row r="157" spans="8:11" ht="12.75">
      <c r="H157" s="289">
        <v>70</v>
      </c>
      <c r="I157" s="288" t="s">
        <v>207</v>
      </c>
      <c r="K157" s="286"/>
    </row>
    <row r="158" spans="8:11" ht="12.75">
      <c r="H158" s="289">
        <v>71</v>
      </c>
      <c r="I158" s="288" t="s">
        <v>257</v>
      </c>
      <c r="K158" s="286"/>
    </row>
    <row r="159" spans="8:11" ht="12.75">
      <c r="H159" s="289">
        <v>72</v>
      </c>
      <c r="I159" s="288" t="s">
        <v>258</v>
      </c>
      <c r="K159" s="286"/>
    </row>
    <row r="160" spans="8:11" ht="12.75">
      <c r="H160" s="289">
        <v>73</v>
      </c>
      <c r="I160" s="288" t="s">
        <v>259</v>
      </c>
      <c r="K160" s="286"/>
    </row>
    <row r="161" spans="8:11" ht="12.75">
      <c r="H161" s="289">
        <v>74</v>
      </c>
      <c r="I161" s="288" t="s">
        <v>260</v>
      </c>
      <c r="K161" s="286"/>
    </row>
    <row r="162" spans="8:11" ht="12.75">
      <c r="H162" s="289">
        <v>75</v>
      </c>
      <c r="I162" s="288" t="s">
        <v>261</v>
      </c>
      <c r="K162" s="286"/>
    </row>
    <row r="163" spans="8:11" ht="12.75">
      <c r="H163" s="289">
        <v>76</v>
      </c>
      <c r="I163" s="288" t="s">
        <v>262</v>
      </c>
      <c r="K163" s="286"/>
    </row>
    <row r="164" spans="8:11" ht="12.75">
      <c r="H164" s="289">
        <v>77</v>
      </c>
      <c r="I164" s="288" t="s">
        <v>263</v>
      </c>
      <c r="K164" s="286"/>
    </row>
    <row r="165" spans="8:11" ht="12.75">
      <c r="H165" s="289">
        <v>78</v>
      </c>
      <c r="I165" s="288" t="s">
        <v>264</v>
      </c>
      <c r="K165" s="286"/>
    </row>
    <row r="166" spans="8:11" ht="12.75">
      <c r="H166" s="289">
        <v>79</v>
      </c>
      <c r="I166" s="288" t="s">
        <v>265</v>
      </c>
      <c r="K166" s="286"/>
    </row>
    <row r="167" spans="8:11" ht="12.75">
      <c r="H167" s="289">
        <v>80</v>
      </c>
      <c r="I167" s="288" t="s">
        <v>208</v>
      </c>
      <c r="K167" s="286"/>
    </row>
    <row r="168" spans="8:11" ht="12.75">
      <c r="H168" s="289">
        <v>81</v>
      </c>
      <c r="I168" s="288" t="s">
        <v>266</v>
      </c>
      <c r="K168" s="286"/>
    </row>
    <row r="169" spans="8:11" ht="12.75">
      <c r="H169" s="289">
        <v>82</v>
      </c>
      <c r="I169" s="288" t="s">
        <v>267</v>
      </c>
      <c r="K169" s="286"/>
    </row>
    <row r="170" spans="8:11" ht="12.75">
      <c r="H170" s="289">
        <v>83</v>
      </c>
      <c r="I170" s="288" t="s">
        <v>268</v>
      </c>
      <c r="K170" s="286"/>
    </row>
    <row r="171" spans="8:11" ht="12.75">
      <c r="H171" s="289">
        <v>84</v>
      </c>
      <c r="I171" s="288" t="s">
        <v>269</v>
      </c>
      <c r="K171" s="286"/>
    </row>
    <row r="172" spans="8:11" ht="12.75">
      <c r="H172" s="289">
        <v>85</v>
      </c>
      <c r="I172" s="288" t="s">
        <v>270</v>
      </c>
      <c r="K172" s="286"/>
    </row>
    <row r="173" spans="8:11" ht="12.75">
      <c r="H173" s="289">
        <v>86</v>
      </c>
      <c r="I173" s="288" t="s">
        <v>271</v>
      </c>
      <c r="K173" s="286"/>
    </row>
    <row r="174" spans="8:11" ht="12.75">
      <c r="H174" s="289">
        <v>87</v>
      </c>
      <c r="I174" s="288" t="s">
        <v>272</v>
      </c>
      <c r="K174" s="286"/>
    </row>
    <row r="175" spans="8:11" ht="12.75">
      <c r="H175" s="289">
        <v>88</v>
      </c>
      <c r="I175" s="288" t="s">
        <v>273</v>
      </c>
      <c r="K175" s="286"/>
    </row>
    <row r="176" spans="8:11" ht="12.75">
      <c r="H176" s="289">
        <v>89</v>
      </c>
      <c r="I176" s="288" t="s">
        <v>274</v>
      </c>
      <c r="K176" s="286"/>
    </row>
    <row r="177" spans="8:11" ht="12.75">
      <c r="H177" s="289">
        <v>90</v>
      </c>
      <c r="I177" s="288" t="s">
        <v>209</v>
      </c>
      <c r="K177" s="286"/>
    </row>
    <row r="178" spans="8:11" ht="12.75">
      <c r="H178" s="289">
        <v>91</v>
      </c>
      <c r="I178" s="288" t="s">
        <v>275</v>
      </c>
      <c r="K178" s="286"/>
    </row>
    <row r="179" spans="8:11" ht="12.75">
      <c r="H179" s="289">
        <v>92</v>
      </c>
      <c r="I179" s="288" t="s">
        <v>276</v>
      </c>
      <c r="K179" s="286"/>
    </row>
    <row r="180" spans="8:11" ht="12.75">
      <c r="H180" s="289">
        <v>93</v>
      </c>
      <c r="I180" s="288" t="s">
        <v>277</v>
      </c>
      <c r="K180" s="286"/>
    </row>
    <row r="181" spans="8:11" ht="12.75">
      <c r="H181" s="289">
        <v>94</v>
      </c>
      <c r="I181" s="288" t="s">
        <v>278</v>
      </c>
      <c r="K181" s="286"/>
    </row>
    <row r="182" spans="8:11" ht="12.75">
      <c r="H182" s="289">
        <v>95</v>
      </c>
      <c r="I182" s="288" t="s">
        <v>279</v>
      </c>
      <c r="K182" s="286"/>
    </row>
    <row r="183" spans="8:11" ht="12.75">
      <c r="H183" s="289">
        <v>96</v>
      </c>
      <c r="I183" s="288" t="s">
        <v>280</v>
      </c>
      <c r="K183" s="286"/>
    </row>
    <row r="184" spans="8:11" ht="12.75">
      <c r="H184" s="289">
        <v>97</v>
      </c>
      <c r="I184" s="288" t="s">
        <v>281</v>
      </c>
      <c r="K184" s="286"/>
    </row>
    <row r="185" spans="8:11" ht="12.75">
      <c r="H185" s="289">
        <v>98</v>
      </c>
      <c r="I185" s="288" t="s">
        <v>282</v>
      </c>
      <c r="K185" s="286"/>
    </row>
    <row r="186" spans="8:11" ht="12.75">
      <c r="H186" s="289">
        <v>99</v>
      </c>
      <c r="I186" s="288" t="s">
        <v>283</v>
      </c>
      <c r="K186" s="286"/>
    </row>
    <row r="187" spans="8:11" ht="12.75">
      <c r="H187" s="289"/>
      <c r="K187" s="286"/>
    </row>
    <row r="188" ht="12.75">
      <c r="K188" s="286"/>
    </row>
    <row r="189" ht="12.75">
      <c r="K189" s="286"/>
    </row>
    <row r="190" ht="12.75">
      <c r="K190" s="286"/>
    </row>
    <row r="191" ht="12.75">
      <c r="K191" s="286"/>
    </row>
    <row r="192" ht="12.75">
      <c r="K192" s="286"/>
    </row>
    <row r="193" ht="12.75">
      <c r="K193" s="286"/>
    </row>
    <row r="194" ht="12.75">
      <c r="K194" s="286"/>
    </row>
    <row r="195" ht="12.75">
      <c r="K195" s="286"/>
    </row>
    <row r="196" ht="12.75">
      <c r="K196" s="286"/>
    </row>
    <row r="197" ht="12.75">
      <c r="K197" s="286"/>
    </row>
    <row r="198" ht="12.75">
      <c r="K198" s="286"/>
    </row>
    <row r="199" ht="12.75">
      <c r="K199" s="286"/>
    </row>
    <row r="200" ht="12.75">
      <c r="K200" s="286"/>
    </row>
    <row r="201" ht="12.75">
      <c r="K201" s="286"/>
    </row>
    <row r="202" ht="12.75">
      <c r="K202" s="286"/>
    </row>
    <row r="203" ht="12.75">
      <c r="K203" s="286"/>
    </row>
    <row r="204" ht="12.75">
      <c r="K204" s="286"/>
    </row>
    <row r="205" ht="12.75">
      <c r="K205" s="286"/>
    </row>
    <row r="206" ht="12.75">
      <c r="K206" s="286"/>
    </row>
    <row r="207" ht="12.75">
      <c r="K207" s="286"/>
    </row>
    <row r="208" ht="12.75">
      <c r="K208" s="286"/>
    </row>
    <row r="209" ht="12.75">
      <c r="K209" s="286"/>
    </row>
    <row r="210" ht="12.75">
      <c r="K210" s="286"/>
    </row>
    <row r="211" ht="12.75">
      <c r="K211" s="286"/>
    </row>
    <row r="212" ht="12.75">
      <c r="K212" s="286"/>
    </row>
    <row r="213" ht="12.75">
      <c r="K213" s="286"/>
    </row>
    <row r="214" ht="12.75">
      <c r="K214" s="286"/>
    </row>
    <row r="215" ht="12.75">
      <c r="K215" s="286"/>
    </row>
    <row r="216" ht="12.75">
      <c r="K216" s="286"/>
    </row>
    <row r="217" ht="12.75">
      <c r="K217" s="286"/>
    </row>
    <row r="218" ht="12.75">
      <c r="K218" s="286"/>
    </row>
    <row r="219" ht="12.75">
      <c r="K219" s="286"/>
    </row>
    <row r="220" ht="12.75">
      <c r="K220" s="286"/>
    </row>
    <row r="221" ht="12.75">
      <c r="K221" s="286"/>
    </row>
    <row r="222" ht="12.75">
      <c r="K222" s="286"/>
    </row>
    <row r="223" ht="12.75">
      <c r="K223" s="286"/>
    </row>
    <row r="224" ht="12.75">
      <c r="K224" s="286"/>
    </row>
    <row r="225" ht="12.75">
      <c r="K225" s="286"/>
    </row>
    <row r="226" ht="12.75">
      <c r="K226" s="286"/>
    </row>
    <row r="227" ht="12.75">
      <c r="K227" s="286"/>
    </row>
    <row r="228" ht="12.75">
      <c r="K228" s="286"/>
    </row>
    <row r="229" ht="12.75">
      <c r="K229" s="286"/>
    </row>
    <row r="230" ht="12.75">
      <c r="K230" s="286"/>
    </row>
    <row r="231" ht="12.75">
      <c r="K231" s="286"/>
    </row>
    <row r="232" ht="12.75">
      <c r="K232" s="286"/>
    </row>
    <row r="233" ht="12.75">
      <c r="K233" s="286"/>
    </row>
    <row r="234" ht="12.75">
      <c r="K234" s="286"/>
    </row>
    <row r="235" ht="12.75">
      <c r="K235" s="286"/>
    </row>
    <row r="236" ht="12.75">
      <c r="K236" s="286"/>
    </row>
    <row r="237" ht="12.75">
      <c r="K237" s="286"/>
    </row>
    <row r="238" ht="12.75">
      <c r="K238" s="286"/>
    </row>
    <row r="239" ht="12.75">
      <c r="K239" s="286"/>
    </row>
    <row r="240" ht="12.75">
      <c r="K240" s="286"/>
    </row>
    <row r="241" ht="12.75">
      <c r="K241" s="286"/>
    </row>
    <row r="242" ht="12.75">
      <c r="K242" s="286"/>
    </row>
    <row r="243" ht="12.75">
      <c r="K243" s="286"/>
    </row>
    <row r="244" ht="12.75">
      <c r="K244" s="286"/>
    </row>
    <row r="245" ht="12.75">
      <c r="K245" s="286"/>
    </row>
    <row r="246" ht="12.75">
      <c r="K246" s="286"/>
    </row>
    <row r="247" ht="12.75">
      <c r="K247" s="286"/>
    </row>
    <row r="248" ht="12.75">
      <c r="K248" s="286"/>
    </row>
    <row r="249" ht="12.75">
      <c r="K249" s="286"/>
    </row>
    <row r="250" ht="12.75">
      <c r="K250" s="286"/>
    </row>
  </sheetData>
  <mergeCells count="19">
    <mergeCell ref="B48:K48"/>
    <mergeCell ref="C21:D21"/>
    <mergeCell ref="B11:K11"/>
    <mergeCell ref="B46:C46"/>
    <mergeCell ref="C33:D33"/>
    <mergeCell ref="C40:D40"/>
    <mergeCell ref="J9:K9"/>
    <mergeCell ref="J7:K7"/>
    <mergeCell ref="J6:K6"/>
    <mergeCell ref="J5:K5"/>
    <mergeCell ref="J8:K8"/>
    <mergeCell ref="L3:L4"/>
    <mergeCell ref="J3:K3"/>
    <mergeCell ref="B3:B4"/>
    <mergeCell ref="C3:C4"/>
    <mergeCell ref="F3:F4"/>
    <mergeCell ref="G3:G4"/>
    <mergeCell ref="H3:H4"/>
    <mergeCell ref="J4:K4"/>
  </mergeCells>
  <printOptions horizontalCentered="1"/>
  <pageMargins left="0.21" right="0.22" top="0.22" bottom="0.21" header="0.17" footer="0.16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0" sqref="I40"/>
    </sheetView>
  </sheetViews>
  <sheetFormatPr defaultColWidth="9.140625" defaultRowHeight="12.75"/>
  <cols>
    <col min="1" max="1" width="3.00390625" style="124" bestFit="1" customWidth="1"/>
    <col min="2" max="5" width="2.140625" style="1" bestFit="1" customWidth="1"/>
    <col min="6" max="6" width="5.140625" style="1" bestFit="1" customWidth="1"/>
    <col min="7" max="7" width="8.140625" style="1" bestFit="1" customWidth="1"/>
    <col min="8" max="8" width="6.57421875" style="1" bestFit="1" customWidth="1"/>
    <col min="9" max="10" width="5.7109375" style="1" bestFit="1" customWidth="1"/>
    <col min="11" max="11" width="6.57421875" style="1" bestFit="1" customWidth="1"/>
    <col min="12" max="12" width="4.8515625" style="1" bestFit="1" customWidth="1"/>
    <col min="13" max="13" width="5.57421875" style="1" bestFit="1" customWidth="1"/>
    <col min="14" max="14" width="4.28125" style="1" customWidth="1"/>
    <col min="15" max="16" width="3.8515625" style="1" bestFit="1" customWidth="1"/>
    <col min="17" max="17" width="4.8515625" style="1" bestFit="1" customWidth="1"/>
    <col min="18" max="18" width="23.140625" style="128" bestFit="1" customWidth="1"/>
    <col min="19" max="19" width="8.140625" style="129" bestFit="1" customWidth="1"/>
    <col min="20" max="20" width="14.8515625" style="131" bestFit="1" customWidth="1"/>
    <col min="21" max="21" width="19.140625" style="239" bestFit="1" customWidth="1"/>
    <col min="22" max="22" width="18.7109375" style="117" customWidth="1"/>
    <col min="23" max="23" width="9.28125" style="117" bestFit="1" customWidth="1"/>
    <col min="24" max="24" width="11.57421875" style="117" bestFit="1" customWidth="1"/>
    <col min="25" max="25" width="11.7109375" style="117" bestFit="1" customWidth="1"/>
    <col min="26" max="26" width="11.28125" style="117" bestFit="1" customWidth="1"/>
    <col min="27" max="16384" width="4.28125" style="1" customWidth="1"/>
  </cols>
  <sheetData>
    <row r="1" spans="1:22" ht="11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4"/>
      <c r="S1" s="145"/>
      <c r="T1" s="146"/>
      <c r="U1" s="238"/>
      <c r="V1" s="249"/>
    </row>
    <row r="2" spans="1:26" s="115" customFormat="1" ht="11.25">
      <c r="A2" s="125"/>
      <c r="B2" s="362" t="s">
        <v>69</v>
      </c>
      <c r="C2" s="362"/>
      <c r="D2" s="362" t="s">
        <v>70</v>
      </c>
      <c r="E2" s="362"/>
      <c r="F2" s="116" t="s">
        <v>71</v>
      </c>
      <c r="G2" s="116" t="s">
        <v>72</v>
      </c>
      <c r="H2" s="116" t="str">
        <f>"12%"</f>
        <v>12%</v>
      </c>
      <c r="I2" s="116" t="str">
        <f>"3.67%"</f>
        <v>3.67%</v>
      </c>
      <c r="J2" s="116" t="str">
        <f>"1.1%"</f>
        <v>1.1%</v>
      </c>
      <c r="K2" s="116" t="str">
        <f>"8.33%"</f>
        <v>8.33%</v>
      </c>
      <c r="L2" s="116" t="str">
        <f>"0.5%"</f>
        <v>0.5%</v>
      </c>
      <c r="M2" s="116" t="str">
        <f>"0.01%"</f>
        <v>0.01%</v>
      </c>
      <c r="N2" s="116" t="s">
        <v>74</v>
      </c>
      <c r="O2" s="116" t="s">
        <v>75</v>
      </c>
      <c r="P2" s="116" t="s">
        <v>76</v>
      </c>
      <c r="Q2" s="123" t="s">
        <v>77</v>
      </c>
      <c r="R2" s="126" t="s">
        <v>89</v>
      </c>
      <c r="S2" s="127" t="s">
        <v>90</v>
      </c>
      <c r="T2" s="130" t="s">
        <v>91</v>
      </c>
      <c r="U2" s="237" t="s">
        <v>92</v>
      </c>
      <c r="V2" s="116" t="s">
        <v>69</v>
      </c>
      <c r="W2" s="147"/>
      <c r="X2" s="147"/>
      <c r="Y2" s="147"/>
      <c r="Z2" s="147"/>
    </row>
    <row r="3" spans="1:22" ht="15" customHeight="1">
      <c r="A3" s="124">
        <v>9</v>
      </c>
      <c r="B3" s="5">
        <v>0</v>
      </c>
      <c r="C3" s="5">
        <v>9</v>
      </c>
      <c r="D3" s="5">
        <v>0</v>
      </c>
      <c r="E3" s="117">
        <v>7</v>
      </c>
      <c r="F3" s="117">
        <v>591</v>
      </c>
      <c r="G3" s="117">
        <v>1408176</v>
      </c>
      <c r="H3" s="117">
        <v>170571</v>
      </c>
      <c r="I3" s="117">
        <v>51804</v>
      </c>
      <c r="J3" s="117">
        <v>15490</v>
      </c>
      <c r="K3" s="117">
        <v>117207</v>
      </c>
      <c r="L3" s="117">
        <v>7041</v>
      </c>
      <c r="M3" s="117">
        <v>140</v>
      </c>
      <c r="N3" s="5">
        <v>424</v>
      </c>
      <c r="O3" s="1">
        <v>181</v>
      </c>
      <c r="P3" s="1">
        <v>14</v>
      </c>
      <c r="Q3" s="1">
        <v>591</v>
      </c>
      <c r="R3" s="128" t="s">
        <v>30</v>
      </c>
      <c r="S3" s="129" t="s">
        <v>177</v>
      </c>
      <c r="T3" s="131">
        <v>37907</v>
      </c>
      <c r="U3" s="239">
        <v>37911</v>
      </c>
      <c r="V3" s="117" t="s">
        <v>179</v>
      </c>
    </row>
    <row r="4" spans="1:22" ht="11.25">
      <c r="A4" s="124">
        <v>10</v>
      </c>
      <c r="B4" s="1">
        <v>1</v>
      </c>
      <c r="C4" s="1">
        <v>0</v>
      </c>
      <c r="D4" s="1">
        <v>0</v>
      </c>
      <c r="E4" s="1">
        <v>7</v>
      </c>
      <c r="V4" s="117" t="s">
        <v>180</v>
      </c>
    </row>
    <row r="5" spans="1:22" ht="11.25">
      <c r="A5" s="124">
        <v>11</v>
      </c>
      <c r="B5" s="1">
        <v>1</v>
      </c>
      <c r="C5" s="1">
        <v>1</v>
      </c>
      <c r="D5" s="1">
        <v>0</v>
      </c>
      <c r="E5" s="1">
        <v>7</v>
      </c>
      <c r="V5" s="117" t="s">
        <v>178</v>
      </c>
    </row>
    <row r="6" spans="1:22" ht="11.25">
      <c r="A6" s="124">
        <v>12</v>
      </c>
      <c r="B6" s="1">
        <v>1</v>
      </c>
      <c r="C6" s="1">
        <v>2</v>
      </c>
      <c r="D6" s="1">
        <v>0</v>
      </c>
      <c r="E6" s="1">
        <v>7</v>
      </c>
      <c r="V6" s="117" t="s">
        <v>128</v>
      </c>
    </row>
    <row r="7" spans="1:22" ht="11.25">
      <c r="A7" s="124">
        <v>1</v>
      </c>
      <c r="B7" s="1">
        <v>0</v>
      </c>
      <c r="C7" s="1">
        <v>1</v>
      </c>
      <c r="D7" s="1">
        <v>0</v>
      </c>
      <c r="E7" s="1">
        <v>7</v>
      </c>
      <c r="V7" s="117" t="s">
        <v>129</v>
      </c>
    </row>
    <row r="8" spans="1:22" ht="11.25">
      <c r="A8" s="124">
        <v>2</v>
      </c>
      <c r="B8" s="1">
        <v>0</v>
      </c>
      <c r="C8" s="1">
        <v>2</v>
      </c>
      <c r="D8" s="1">
        <v>0</v>
      </c>
      <c r="E8" s="1">
        <v>7</v>
      </c>
      <c r="V8" s="117" t="s">
        <v>130</v>
      </c>
    </row>
    <row r="9" spans="1:22" ht="11.25">
      <c r="A9" s="124" t="s">
        <v>286</v>
      </c>
      <c r="B9" s="1">
        <v>1</v>
      </c>
      <c r="C9" s="1">
        <v>0</v>
      </c>
      <c r="D9" s="1">
        <v>0</v>
      </c>
      <c r="E9" s="1">
        <v>7</v>
      </c>
      <c r="V9" s="117" t="s">
        <v>287</v>
      </c>
    </row>
    <row r="10" spans="1:22" ht="11.25">
      <c r="A10" s="124">
        <v>3</v>
      </c>
      <c r="B10" s="1">
        <v>0</v>
      </c>
      <c r="C10" s="1">
        <v>3</v>
      </c>
      <c r="D10" s="1">
        <v>0</v>
      </c>
      <c r="E10" s="1">
        <v>7</v>
      </c>
      <c r="V10" s="117" t="s">
        <v>131</v>
      </c>
    </row>
    <row r="11" spans="1:22" ht="11.25">
      <c r="A11" s="124">
        <v>4</v>
      </c>
      <c r="B11" s="1">
        <v>0</v>
      </c>
      <c r="C11" s="1">
        <v>4</v>
      </c>
      <c r="D11" s="1">
        <v>0</v>
      </c>
      <c r="E11" s="1">
        <v>7</v>
      </c>
      <c r="V11" s="117" t="s">
        <v>132</v>
      </c>
    </row>
    <row r="12" spans="1:22" ht="11.25">
      <c r="A12" s="124">
        <v>5</v>
      </c>
      <c r="B12" s="1">
        <v>0</v>
      </c>
      <c r="C12" s="1">
        <v>5</v>
      </c>
      <c r="D12" s="1">
        <v>0</v>
      </c>
      <c r="E12" s="1">
        <v>7</v>
      </c>
      <c r="V12" s="117" t="s">
        <v>133</v>
      </c>
    </row>
    <row r="13" spans="1:22" ht="11.25">
      <c r="A13" s="124">
        <v>6</v>
      </c>
      <c r="B13" s="1">
        <v>0</v>
      </c>
      <c r="C13" s="1">
        <v>6</v>
      </c>
      <c r="D13" s="1">
        <v>0</v>
      </c>
      <c r="E13" s="1">
        <v>7</v>
      </c>
      <c r="V13" s="117" t="s">
        <v>134</v>
      </c>
    </row>
    <row r="14" spans="1:22" ht="11.25">
      <c r="A14" s="124">
        <v>7</v>
      </c>
      <c r="B14" s="1">
        <v>0</v>
      </c>
      <c r="C14" s="1">
        <v>7</v>
      </c>
      <c r="D14" s="1">
        <v>0</v>
      </c>
      <c r="E14" s="1">
        <v>7</v>
      </c>
      <c r="V14" s="117" t="s">
        <v>142</v>
      </c>
    </row>
    <row r="15" spans="1:22" ht="11.25">
      <c r="A15" s="124">
        <v>8</v>
      </c>
      <c r="B15" s="1">
        <v>0</v>
      </c>
      <c r="C15" s="1">
        <v>8</v>
      </c>
      <c r="D15" s="1">
        <v>0</v>
      </c>
      <c r="E15" s="1">
        <v>7</v>
      </c>
      <c r="V15" s="117" t="s">
        <v>143</v>
      </c>
    </row>
    <row r="16" spans="2:22" ht="11.25">
      <c r="B16" s="1">
        <v>0</v>
      </c>
      <c r="C16" s="1">
        <v>9</v>
      </c>
      <c r="D16" s="1">
        <v>0</v>
      </c>
      <c r="E16" s="1">
        <v>7</v>
      </c>
      <c r="V16" s="117" t="s">
        <v>144</v>
      </c>
    </row>
    <row r="17" spans="2:22" ht="11.25">
      <c r="B17" s="1">
        <v>1</v>
      </c>
      <c r="C17" s="1">
        <v>0</v>
      </c>
      <c r="D17" s="1">
        <v>0</v>
      </c>
      <c r="E17" s="1">
        <v>7</v>
      </c>
      <c r="V17" s="117" t="s">
        <v>145</v>
      </c>
    </row>
    <row r="18" spans="2:22" ht="11.25">
      <c r="B18" s="1">
        <v>1</v>
      </c>
      <c r="C18" s="1">
        <v>1</v>
      </c>
      <c r="D18" s="1">
        <v>0</v>
      </c>
      <c r="E18" s="1">
        <v>7</v>
      </c>
      <c r="V18" s="117" t="s">
        <v>146</v>
      </c>
    </row>
    <row r="19" spans="2:22" ht="11.25">
      <c r="B19" s="1">
        <v>1</v>
      </c>
      <c r="C19" s="1">
        <v>2</v>
      </c>
      <c r="D19" s="1">
        <v>0</v>
      </c>
      <c r="E19" s="1">
        <v>7</v>
      </c>
      <c r="V19" s="117" t="s">
        <v>147</v>
      </c>
    </row>
  </sheetData>
  <mergeCells count="2">
    <mergeCell ref="D2:E2"/>
    <mergeCell ref="B2:C2"/>
  </mergeCells>
  <printOptions/>
  <pageMargins left="0.75" right="0.75" top="1" bottom="1" header="0.5" footer="0.5"/>
  <pageSetup horizontalDpi="180" verticalDpi="18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2"/>
  <sheetViews>
    <sheetView workbookViewId="0" topLeftCell="A1">
      <selection activeCell="E4" sqref="E4"/>
    </sheetView>
  </sheetViews>
  <sheetFormatPr defaultColWidth="9.140625" defaultRowHeight="12.75"/>
  <cols>
    <col min="1" max="1" width="5.421875" style="152" customWidth="1"/>
    <col min="2" max="2" width="5.28125" style="155" customWidth="1"/>
    <col min="3" max="3" width="17.00390625" style="157" bestFit="1" customWidth="1"/>
    <col min="4" max="4" width="12.28125" style="160" customWidth="1"/>
    <col min="5" max="5" width="9.28125" style="160" bestFit="1" customWidth="1"/>
    <col min="6" max="6" width="13.57421875" style="162" customWidth="1"/>
    <col min="7" max="7" width="13.8515625" style="162" customWidth="1"/>
    <col min="8" max="8" width="11.28125" style="162" bestFit="1" customWidth="1"/>
    <col min="9" max="9" width="11.00390625" style="150" bestFit="1" customWidth="1"/>
    <col min="10" max="10" width="11.57421875" style="150" bestFit="1" customWidth="1"/>
    <col min="11" max="11" width="20.57421875" style="150" customWidth="1"/>
    <col min="12" max="16384" width="4.28125" style="152" customWidth="1"/>
  </cols>
  <sheetData>
    <row r="1" spans="2:11" ht="11.25">
      <c r="B1" s="151"/>
      <c r="C1" s="158"/>
      <c r="D1" s="161"/>
      <c r="E1" s="161"/>
      <c r="F1" s="258"/>
      <c r="G1" s="258"/>
      <c r="H1" s="258"/>
      <c r="I1" s="158"/>
      <c r="J1" s="158"/>
      <c r="K1" s="158"/>
    </row>
    <row r="2" spans="2:11" ht="11.25">
      <c r="B2" s="153"/>
      <c r="C2" s="156"/>
      <c r="D2" s="161"/>
      <c r="E2" s="161"/>
      <c r="F2" s="258"/>
      <c r="G2" s="258"/>
      <c r="H2" s="258"/>
      <c r="I2" s="158"/>
      <c r="J2" s="158"/>
      <c r="K2" s="158"/>
    </row>
    <row r="3" spans="2:11" s="150" customFormat="1" ht="23.25" customHeight="1">
      <c r="B3" s="148"/>
      <c r="C3" s="149" t="s">
        <v>69</v>
      </c>
      <c r="D3" s="159" t="s">
        <v>123</v>
      </c>
      <c r="E3" s="159" t="s">
        <v>124</v>
      </c>
      <c r="F3" s="259" t="s">
        <v>126</v>
      </c>
      <c r="G3" s="259" t="s">
        <v>125</v>
      </c>
      <c r="H3" s="259" t="s">
        <v>127</v>
      </c>
      <c r="I3" s="149" t="s">
        <v>94</v>
      </c>
      <c r="J3" s="149" t="s">
        <v>135</v>
      </c>
      <c r="K3" s="149" t="s">
        <v>136</v>
      </c>
    </row>
    <row r="4" spans="2:11" ht="15" customHeight="1">
      <c r="B4" s="154"/>
      <c r="C4" s="157" t="s">
        <v>295</v>
      </c>
      <c r="D4" s="160">
        <v>247</v>
      </c>
      <c r="E4" s="160">
        <v>670910</v>
      </c>
      <c r="F4" s="162">
        <v>11744.55</v>
      </c>
      <c r="G4" s="162">
        <v>31869.45</v>
      </c>
      <c r="H4" s="162">
        <f>SUM(F4:G4)</f>
        <v>43614</v>
      </c>
      <c r="I4" s="150">
        <v>80321</v>
      </c>
      <c r="J4" s="163">
        <v>37996</v>
      </c>
      <c r="K4" s="150" t="s">
        <v>137</v>
      </c>
    </row>
    <row r="5" spans="2:10" ht="15" customHeight="1">
      <c r="B5" s="155">
        <v>1</v>
      </c>
      <c r="C5" s="157" t="s">
        <v>296</v>
      </c>
      <c r="J5" s="163"/>
    </row>
    <row r="6" spans="2:10" ht="15" customHeight="1">
      <c r="B6" s="155">
        <v>2</v>
      </c>
      <c r="C6" s="157" t="s">
        <v>130</v>
      </c>
      <c r="J6" s="163"/>
    </row>
    <row r="7" spans="2:10" ht="15" customHeight="1">
      <c r="B7" s="155">
        <v>3</v>
      </c>
      <c r="C7" s="157" t="s">
        <v>131</v>
      </c>
      <c r="J7" s="163"/>
    </row>
    <row r="8" spans="2:10" ht="15" customHeight="1">
      <c r="B8" s="155">
        <v>4</v>
      </c>
      <c r="C8" s="157" t="s">
        <v>132</v>
      </c>
      <c r="J8" s="163"/>
    </row>
    <row r="9" spans="2:10" ht="15" customHeight="1">
      <c r="B9" s="155">
        <v>5</v>
      </c>
      <c r="C9" s="157" t="s">
        <v>133</v>
      </c>
      <c r="J9" s="163"/>
    </row>
    <row r="10" spans="2:10" ht="15" customHeight="1">
      <c r="B10" s="155">
        <v>6</v>
      </c>
      <c r="C10" s="157" t="s">
        <v>134</v>
      </c>
      <c r="J10" s="163"/>
    </row>
    <row r="11" spans="2:10" ht="15" customHeight="1">
      <c r="B11" s="155">
        <v>7</v>
      </c>
      <c r="C11" s="157" t="s">
        <v>142</v>
      </c>
      <c r="J11" s="163"/>
    </row>
    <row r="12" spans="2:10" ht="15" customHeight="1">
      <c r="B12" s="155">
        <v>8</v>
      </c>
      <c r="C12" s="157" t="s">
        <v>143</v>
      </c>
      <c r="J12" s="163"/>
    </row>
    <row r="13" spans="2:8" ht="15" customHeight="1">
      <c r="B13" s="155">
        <v>9</v>
      </c>
      <c r="C13" s="157" t="s">
        <v>144</v>
      </c>
      <c r="H13" s="162">
        <f aca="true" t="shared" si="0" ref="H13:H42">SUM(F13:G13)</f>
        <v>0</v>
      </c>
    </row>
    <row r="14" spans="2:8" ht="15" customHeight="1">
      <c r="B14" s="155">
        <v>10</v>
      </c>
      <c r="C14" s="157" t="s">
        <v>145</v>
      </c>
      <c r="H14" s="162">
        <f t="shared" si="0"/>
        <v>0</v>
      </c>
    </row>
    <row r="15" spans="2:8" ht="15" customHeight="1">
      <c r="B15" s="155">
        <v>11</v>
      </c>
      <c r="C15" s="157" t="s">
        <v>146</v>
      </c>
      <c r="H15" s="162">
        <f t="shared" si="0"/>
        <v>0</v>
      </c>
    </row>
    <row r="16" spans="3:8" ht="15" customHeight="1">
      <c r="C16" s="157" t="s">
        <v>147</v>
      </c>
      <c r="H16" s="162">
        <f t="shared" si="0"/>
        <v>0</v>
      </c>
    </row>
    <row r="17" ht="15" customHeight="1">
      <c r="H17" s="162">
        <f t="shared" si="0"/>
        <v>0</v>
      </c>
    </row>
    <row r="18" ht="15" customHeight="1">
      <c r="H18" s="162">
        <f t="shared" si="0"/>
        <v>0</v>
      </c>
    </row>
    <row r="19" ht="15" customHeight="1">
      <c r="H19" s="162">
        <f t="shared" si="0"/>
        <v>0</v>
      </c>
    </row>
    <row r="20" ht="15" customHeight="1">
      <c r="H20" s="162">
        <f t="shared" si="0"/>
        <v>0</v>
      </c>
    </row>
    <row r="21" ht="15" customHeight="1">
      <c r="H21" s="162">
        <f t="shared" si="0"/>
        <v>0</v>
      </c>
    </row>
    <row r="22" ht="15" customHeight="1">
      <c r="H22" s="162">
        <f t="shared" si="0"/>
        <v>0</v>
      </c>
    </row>
    <row r="23" ht="15" customHeight="1">
      <c r="H23" s="162">
        <f t="shared" si="0"/>
        <v>0</v>
      </c>
    </row>
    <row r="24" ht="15" customHeight="1">
      <c r="H24" s="162">
        <f t="shared" si="0"/>
        <v>0</v>
      </c>
    </row>
    <row r="25" ht="15" customHeight="1">
      <c r="H25" s="162">
        <f t="shared" si="0"/>
        <v>0</v>
      </c>
    </row>
    <row r="26" ht="15" customHeight="1">
      <c r="H26" s="162">
        <f t="shared" si="0"/>
        <v>0</v>
      </c>
    </row>
    <row r="27" ht="15" customHeight="1">
      <c r="H27" s="162">
        <f t="shared" si="0"/>
        <v>0</v>
      </c>
    </row>
    <row r="28" ht="15" customHeight="1">
      <c r="H28" s="162">
        <f t="shared" si="0"/>
        <v>0</v>
      </c>
    </row>
    <row r="29" ht="15" customHeight="1">
      <c r="H29" s="162">
        <f t="shared" si="0"/>
        <v>0</v>
      </c>
    </row>
    <row r="30" ht="15" customHeight="1">
      <c r="H30" s="162">
        <f t="shared" si="0"/>
        <v>0</v>
      </c>
    </row>
    <row r="31" ht="15" customHeight="1">
      <c r="H31" s="162">
        <f t="shared" si="0"/>
        <v>0</v>
      </c>
    </row>
    <row r="32" ht="15" customHeight="1">
      <c r="H32" s="162">
        <f t="shared" si="0"/>
        <v>0</v>
      </c>
    </row>
    <row r="33" ht="15" customHeight="1">
      <c r="H33" s="162">
        <f t="shared" si="0"/>
        <v>0</v>
      </c>
    </row>
    <row r="34" ht="15" customHeight="1">
      <c r="H34" s="162">
        <f t="shared" si="0"/>
        <v>0</v>
      </c>
    </row>
    <row r="35" ht="15" customHeight="1">
      <c r="H35" s="162">
        <f t="shared" si="0"/>
        <v>0</v>
      </c>
    </row>
    <row r="36" ht="15" customHeight="1">
      <c r="H36" s="162">
        <f t="shared" si="0"/>
        <v>0</v>
      </c>
    </row>
    <row r="37" ht="15" customHeight="1">
      <c r="H37" s="162">
        <f t="shared" si="0"/>
        <v>0</v>
      </c>
    </row>
    <row r="38" ht="15" customHeight="1">
      <c r="H38" s="162">
        <f t="shared" si="0"/>
        <v>0</v>
      </c>
    </row>
    <row r="39" ht="15" customHeight="1">
      <c r="H39" s="162">
        <f t="shared" si="0"/>
        <v>0</v>
      </c>
    </row>
    <row r="40" ht="15" customHeight="1">
      <c r="H40" s="162">
        <f t="shared" si="0"/>
        <v>0</v>
      </c>
    </row>
    <row r="41" ht="15" customHeight="1">
      <c r="H41" s="162">
        <f t="shared" si="0"/>
        <v>0</v>
      </c>
    </row>
    <row r="42" ht="15" customHeight="1">
      <c r="H42" s="162">
        <f t="shared" si="0"/>
        <v>0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Z54"/>
  <sheetViews>
    <sheetView workbookViewId="0" topLeftCell="A7">
      <selection activeCell="P18" sqref="P18:U18"/>
    </sheetView>
  </sheetViews>
  <sheetFormatPr defaultColWidth="9.140625" defaultRowHeight="12.75"/>
  <cols>
    <col min="1" max="3" width="2.8515625" style="97" customWidth="1"/>
    <col min="4" max="4" width="0.9921875" style="97" customWidth="1"/>
    <col min="5" max="9" width="2.8515625" style="97" customWidth="1"/>
    <col min="10" max="10" width="9.00390625" style="97" customWidth="1"/>
    <col min="11" max="11" width="0.5625" style="97" customWidth="1"/>
    <col min="12" max="13" width="4.421875" style="97" customWidth="1"/>
    <col min="14" max="14" width="2.57421875" style="97" customWidth="1"/>
    <col min="15" max="15" width="4.57421875" style="97" customWidth="1"/>
    <col min="16" max="17" width="2.8515625" style="97" customWidth="1"/>
    <col min="18" max="18" width="1.57421875" style="97" customWidth="1"/>
    <col min="19" max="20" width="2.8515625" style="97" customWidth="1"/>
    <col min="21" max="21" width="3.8515625" style="97" customWidth="1"/>
    <col min="22" max="23" width="2.8515625" style="97" customWidth="1"/>
    <col min="24" max="25" width="2.7109375" style="97" customWidth="1"/>
    <col min="26" max="26" width="2.57421875" style="97" bestFit="1" customWidth="1"/>
    <col min="27" max="27" width="3.140625" style="97" customWidth="1"/>
    <col min="28" max="28" width="2.140625" style="97" customWidth="1"/>
    <col min="29" max="29" width="2.8515625" style="97" customWidth="1"/>
    <col min="30" max="30" width="2.00390625" style="97" customWidth="1"/>
    <col min="31" max="31" width="2.421875" style="97" customWidth="1"/>
    <col min="32" max="32" width="2.8515625" style="97" customWidth="1"/>
    <col min="33" max="33" width="2.00390625" style="97" customWidth="1"/>
    <col min="34" max="34" width="1.7109375" style="97" customWidth="1"/>
    <col min="35" max="35" width="2.57421875" style="97" customWidth="1"/>
    <col min="36" max="36" width="2.7109375" style="97" customWidth="1"/>
    <col min="37" max="37" width="2.00390625" style="97" customWidth="1"/>
    <col min="38" max="38" width="3.28125" style="97" customWidth="1"/>
    <col min="39" max="39" width="2.7109375" style="97" customWidth="1"/>
    <col min="40" max="41" width="2.28125" style="97" customWidth="1"/>
    <col min="42" max="42" width="2.7109375" style="97" customWidth="1"/>
    <col min="43" max="43" width="2.57421875" style="97" customWidth="1"/>
    <col min="44" max="45" width="2.8515625" style="97" customWidth="1"/>
    <col min="46" max="46" width="2.28125" style="97" customWidth="1"/>
    <col min="47" max="47" width="1.1484375" style="97" customWidth="1"/>
    <col min="48" max="48" width="0.9921875" style="97" customWidth="1"/>
    <col min="49" max="49" width="1.57421875" style="97" customWidth="1"/>
    <col min="50" max="50" width="0.42578125" style="97" customWidth="1"/>
    <col min="51" max="51" width="2.8515625" style="97" hidden="1" customWidth="1"/>
    <col min="52" max="52" width="11.57421875" style="97" customWidth="1"/>
    <col min="53" max="16384" width="2.8515625" style="97" customWidth="1"/>
  </cols>
  <sheetData>
    <row r="1" ht="6" customHeight="1" thickBot="1"/>
    <row r="2" spans="2:9" ht="12.75" thickBot="1">
      <c r="B2" s="97" t="s">
        <v>73</v>
      </c>
      <c r="H2" s="402">
        <v>8</v>
      </c>
      <c r="I2" s="403"/>
    </row>
    <row r="3" ht="4.5" customHeight="1" thickBot="1"/>
    <row r="4" spans="2:45" ht="4.5" customHeight="1" thickTop="1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3"/>
    </row>
    <row r="5" spans="2:45" ht="15.75" customHeight="1">
      <c r="B5" s="104"/>
      <c r="C5" s="404" t="s">
        <v>68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105"/>
    </row>
    <row r="6" spans="2:45" ht="15" customHeight="1">
      <c r="B6" s="104"/>
      <c r="C6" s="360" t="s">
        <v>30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105"/>
    </row>
    <row r="7" spans="2:52" ht="18">
      <c r="B7" s="110"/>
      <c r="C7" s="405" t="s">
        <v>67</v>
      </c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111"/>
      <c r="AZ7" s="133">
        <f ca="1">TODAY()</f>
        <v>40380</v>
      </c>
    </row>
    <row r="8" spans="2:52" ht="12">
      <c r="B8" s="104"/>
      <c r="C8" s="406" t="s">
        <v>31</v>
      </c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105"/>
      <c r="AZ8" s="133"/>
    </row>
    <row r="9" spans="2:52" ht="12">
      <c r="B9" s="104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105"/>
      <c r="AZ9" s="134">
        <f ca="1">TODAY()</f>
        <v>40380</v>
      </c>
    </row>
    <row r="10" spans="2:45" ht="14.25">
      <c r="B10" s="104"/>
      <c r="C10" s="393" t="s">
        <v>304</v>
      </c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105"/>
    </row>
    <row r="11" spans="2:45" ht="12">
      <c r="B11" s="104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105"/>
    </row>
    <row r="12" spans="2:45" ht="12">
      <c r="B12" s="104"/>
      <c r="C12" s="391" t="s">
        <v>32</v>
      </c>
      <c r="D12" s="391"/>
      <c r="E12" s="391"/>
      <c r="F12" s="391"/>
      <c r="G12" s="391"/>
      <c r="H12" s="391"/>
      <c r="I12" s="391"/>
      <c r="J12" s="391"/>
      <c r="K12" s="98"/>
      <c r="L12" s="98" t="s">
        <v>57</v>
      </c>
      <c r="M12" s="98"/>
      <c r="N12" s="98"/>
      <c r="O12" s="98"/>
      <c r="P12" s="113">
        <f>VLOOKUP($H$2,'PF-DATA'!$A$3:$M$15,2,0)</f>
        <v>0</v>
      </c>
      <c r="Q12" s="113">
        <v>2</v>
      </c>
      <c r="R12" s="99"/>
      <c r="S12" s="113">
        <f>VLOOKUP($H$2,'PF-DATA'!$A$3:$M$15,4,0)</f>
        <v>0</v>
      </c>
      <c r="T12" s="113">
        <v>9</v>
      </c>
      <c r="U12" s="98"/>
      <c r="V12" s="98"/>
      <c r="W12" s="98"/>
      <c r="X12" s="98"/>
      <c r="Y12" s="98"/>
      <c r="Z12" s="98"/>
      <c r="AA12" s="98"/>
      <c r="AB12" s="98"/>
      <c r="AC12" s="389" t="s">
        <v>34</v>
      </c>
      <c r="AD12" s="389"/>
      <c r="AE12" s="389" t="s">
        <v>34</v>
      </c>
      <c r="AF12" s="389"/>
      <c r="AG12" s="98"/>
      <c r="AH12" s="98"/>
      <c r="AI12" s="389" t="s">
        <v>35</v>
      </c>
      <c r="AJ12" s="389"/>
      <c r="AK12" s="389" t="s">
        <v>35</v>
      </c>
      <c r="AL12" s="389"/>
      <c r="AM12" s="98"/>
      <c r="AN12" s="98"/>
      <c r="AO12" s="389" t="s">
        <v>37</v>
      </c>
      <c r="AP12" s="389"/>
      <c r="AQ12" s="389" t="s">
        <v>37</v>
      </c>
      <c r="AR12" s="389"/>
      <c r="AS12" s="105"/>
    </row>
    <row r="13" spans="2:50" ht="3" customHeight="1">
      <c r="B13" s="104"/>
      <c r="C13" s="391"/>
      <c r="D13" s="391"/>
      <c r="E13" s="391"/>
      <c r="F13" s="391"/>
      <c r="G13" s="391"/>
      <c r="H13" s="391"/>
      <c r="I13" s="391"/>
      <c r="J13" s="391"/>
      <c r="K13" s="98"/>
      <c r="L13" s="98"/>
      <c r="M13" s="98"/>
      <c r="N13" s="98"/>
      <c r="O13" s="98"/>
      <c r="P13" s="99"/>
      <c r="Q13" s="99"/>
      <c r="R13" s="99"/>
      <c r="S13" s="99"/>
      <c r="T13" s="99"/>
      <c r="U13" s="98"/>
      <c r="V13" s="391" t="s">
        <v>33</v>
      </c>
      <c r="W13" s="391"/>
      <c r="X13" s="391"/>
      <c r="Y13" s="391"/>
      <c r="Z13" s="391"/>
      <c r="AA13" s="391"/>
      <c r="AB13" s="392"/>
      <c r="AC13" s="384"/>
      <c r="AD13" s="385"/>
      <c r="AE13" s="385"/>
      <c r="AF13" s="386"/>
      <c r="AG13" s="98"/>
      <c r="AH13" s="98"/>
      <c r="AI13" s="384"/>
      <c r="AJ13" s="385"/>
      <c r="AK13" s="385"/>
      <c r="AL13" s="386"/>
      <c r="AM13" s="98"/>
      <c r="AN13" s="98"/>
      <c r="AO13" s="384"/>
      <c r="AP13" s="385"/>
      <c r="AQ13" s="385"/>
      <c r="AR13" s="386"/>
      <c r="AS13" s="105"/>
      <c r="AX13" s="98"/>
    </row>
    <row r="14" spans="2:45" ht="12">
      <c r="B14" s="104"/>
      <c r="C14" s="391"/>
      <c r="D14" s="391"/>
      <c r="E14" s="391"/>
      <c r="F14" s="391"/>
      <c r="G14" s="391"/>
      <c r="H14" s="391"/>
      <c r="I14" s="391"/>
      <c r="J14" s="391"/>
      <c r="K14" s="98"/>
      <c r="L14" s="98" t="s">
        <v>58</v>
      </c>
      <c r="M14" s="98"/>
      <c r="N14" s="98"/>
      <c r="O14" s="98"/>
      <c r="P14" s="113">
        <f>P12</f>
        <v>0</v>
      </c>
      <c r="Q14" s="113">
        <f>Q12</f>
        <v>2</v>
      </c>
      <c r="R14" s="99"/>
      <c r="S14" s="113">
        <f>S12</f>
        <v>0</v>
      </c>
      <c r="T14" s="113">
        <f>T12</f>
        <v>9</v>
      </c>
      <c r="U14" s="98"/>
      <c r="V14" s="391"/>
      <c r="W14" s="391"/>
      <c r="X14" s="391"/>
      <c r="Y14" s="391"/>
      <c r="Z14" s="391"/>
      <c r="AA14" s="391"/>
      <c r="AB14" s="392"/>
      <c r="AC14" s="407">
        <f ca="1">TODAY()</f>
        <v>40380</v>
      </c>
      <c r="AD14" s="408"/>
      <c r="AE14" s="408"/>
      <c r="AF14" s="409"/>
      <c r="AG14" s="98"/>
      <c r="AH14" s="98"/>
      <c r="AI14" s="388">
        <f>MONTH(AZ7)</f>
        <v>7</v>
      </c>
      <c r="AJ14" s="389"/>
      <c r="AK14" s="389"/>
      <c r="AL14" s="390"/>
      <c r="AM14" s="98"/>
      <c r="AN14" s="98"/>
      <c r="AO14" s="388">
        <f>YEAR(AZ7)</f>
        <v>2010</v>
      </c>
      <c r="AP14" s="389"/>
      <c r="AQ14" s="389"/>
      <c r="AR14" s="390"/>
      <c r="AS14" s="105"/>
    </row>
    <row r="15" spans="2:45" ht="7.5" customHeight="1">
      <c r="B15" s="104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105"/>
    </row>
    <row r="16" spans="2:45" ht="12.75" customHeight="1">
      <c r="B16" s="104"/>
      <c r="C16" s="98" t="s">
        <v>36</v>
      </c>
      <c r="D16" s="98"/>
      <c r="E16" s="98"/>
      <c r="F16" s="98"/>
      <c r="G16" s="98"/>
      <c r="H16" s="98"/>
      <c r="I16" s="98"/>
      <c r="J16" s="98"/>
      <c r="K16" s="98"/>
      <c r="L16" s="393" t="s">
        <v>39</v>
      </c>
      <c r="M16" s="393"/>
      <c r="N16" s="393"/>
      <c r="O16" s="98"/>
      <c r="P16" s="397">
        <v>60</v>
      </c>
      <c r="Q16" s="398"/>
      <c r="R16" s="398"/>
      <c r="S16" s="398"/>
      <c r="T16" s="398"/>
      <c r="U16" s="399"/>
      <c r="V16" s="393" t="s">
        <v>40</v>
      </c>
      <c r="W16" s="393"/>
      <c r="X16" s="393"/>
      <c r="Y16" s="98"/>
      <c r="Z16" s="397">
        <f>P16</f>
        <v>60</v>
      </c>
      <c r="AA16" s="398"/>
      <c r="AB16" s="398"/>
      <c r="AC16" s="398"/>
      <c r="AD16" s="398"/>
      <c r="AE16" s="398"/>
      <c r="AF16" s="399"/>
      <c r="AG16" s="98"/>
      <c r="AH16" s="393" t="s">
        <v>41</v>
      </c>
      <c r="AI16" s="393"/>
      <c r="AJ16" s="393"/>
      <c r="AK16" s="98"/>
      <c r="AL16" s="397">
        <f>P16</f>
        <v>60</v>
      </c>
      <c r="AM16" s="398"/>
      <c r="AN16" s="398"/>
      <c r="AO16" s="398"/>
      <c r="AP16" s="398"/>
      <c r="AQ16" s="398"/>
      <c r="AR16" s="399"/>
      <c r="AS16" s="105"/>
    </row>
    <row r="17" spans="2:45" ht="3" customHeight="1">
      <c r="B17" s="104"/>
      <c r="C17" s="98"/>
      <c r="D17" s="98"/>
      <c r="E17" s="98"/>
      <c r="F17" s="98"/>
      <c r="G17" s="98"/>
      <c r="H17" s="98"/>
      <c r="I17" s="98"/>
      <c r="J17" s="98"/>
      <c r="K17" s="98"/>
      <c r="L17" s="393"/>
      <c r="M17" s="393"/>
      <c r="N17" s="393"/>
      <c r="O17" s="98"/>
      <c r="P17" s="98"/>
      <c r="Q17" s="98"/>
      <c r="R17" s="98"/>
      <c r="S17" s="98"/>
      <c r="T17" s="98"/>
      <c r="U17" s="98"/>
      <c r="V17" s="393"/>
      <c r="W17" s="393"/>
      <c r="X17" s="393"/>
      <c r="Y17" s="98"/>
      <c r="Z17" s="98"/>
      <c r="AA17" s="98"/>
      <c r="AB17" s="98"/>
      <c r="AC17" s="98"/>
      <c r="AD17" s="98"/>
      <c r="AE17" s="98"/>
      <c r="AF17" s="98"/>
      <c r="AG17" s="98"/>
      <c r="AH17" s="393"/>
      <c r="AI17" s="393"/>
      <c r="AJ17" s="393"/>
      <c r="AK17" s="98"/>
      <c r="AL17" s="98"/>
      <c r="AM17" s="98"/>
      <c r="AN17" s="98"/>
      <c r="AO17" s="98"/>
      <c r="AP17" s="98"/>
      <c r="AQ17" s="98"/>
      <c r="AR17" s="98"/>
      <c r="AS17" s="105"/>
    </row>
    <row r="18" spans="2:45" ht="12">
      <c r="B18" s="104"/>
      <c r="C18" s="98" t="s">
        <v>38</v>
      </c>
      <c r="D18" s="98"/>
      <c r="E18" s="98"/>
      <c r="F18" s="98"/>
      <c r="G18" s="98"/>
      <c r="H18" s="98"/>
      <c r="I18" s="98"/>
      <c r="J18" s="98"/>
      <c r="K18" s="98"/>
      <c r="L18" s="393"/>
      <c r="M18" s="393"/>
      <c r="N18" s="393"/>
      <c r="O18" s="98"/>
      <c r="P18" s="397">
        <v>187280</v>
      </c>
      <c r="Q18" s="398"/>
      <c r="R18" s="398"/>
      <c r="S18" s="398"/>
      <c r="T18" s="398"/>
      <c r="U18" s="399"/>
      <c r="V18" s="393"/>
      <c r="W18" s="393"/>
      <c r="X18" s="393"/>
      <c r="Y18" s="98"/>
      <c r="Z18" s="397">
        <f>P18</f>
        <v>187280</v>
      </c>
      <c r="AA18" s="398"/>
      <c r="AB18" s="398"/>
      <c r="AC18" s="398"/>
      <c r="AD18" s="398"/>
      <c r="AE18" s="398"/>
      <c r="AF18" s="399"/>
      <c r="AG18" s="98"/>
      <c r="AH18" s="393"/>
      <c r="AI18" s="393"/>
      <c r="AJ18" s="393"/>
      <c r="AK18" s="98"/>
      <c r="AL18" s="397">
        <f>P18</f>
        <v>187280</v>
      </c>
      <c r="AM18" s="398"/>
      <c r="AN18" s="398"/>
      <c r="AO18" s="398"/>
      <c r="AP18" s="398"/>
      <c r="AQ18" s="398"/>
      <c r="AR18" s="399"/>
      <c r="AS18" s="105"/>
    </row>
    <row r="19" spans="2:45" ht="6" customHeight="1" thickBot="1">
      <c r="B19" s="12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21"/>
    </row>
    <row r="20" spans="2:45" ht="6" customHeight="1">
      <c r="B20" s="104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105"/>
    </row>
    <row r="21" spans="2:45" ht="12">
      <c r="B21" s="104"/>
      <c r="C21" s="98" t="s">
        <v>42</v>
      </c>
      <c r="D21" s="98"/>
      <c r="E21" s="98" t="s">
        <v>43</v>
      </c>
      <c r="F21" s="98"/>
      <c r="G21" s="98"/>
      <c r="H21" s="98"/>
      <c r="I21" s="98"/>
      <c r="J21" s="98"/>
      <c r="K21" s="98"/>
      <c r="L21" s="112"/>
      <c r="M21" s="112"/>
      <c r="N21" s="112"/>
      <c r="O21" s="112" t="s">
        <v>44</v>
      </c>
      <c r="P21" s="112"/>
      <c r="Q21" s="112"/>
      <c r="R21" s="112"/>
      <c r="S21" s="112"/>
      <c r="T21" s="112" t="s">
        <v>45</v>
      </c>
      <c r="U21" s="112"/>
      <c r="V21" s="112"/>
      <c r="W21" s="112"/>
      <c r="X21" s="112" t="s">
        <v>78</v>
      </c>
      <c r="Y21" s="112"/>
      <c r="Z21" s="112"/>
      <c r="AA21" s="112"/>
      <c r="AB21" s="112"/>
      <c r="AC21" s="112"/>
      <c r="AD21" s="112" t="s">
        <v>46</v>
      </c>
      <c r="AE21" s="112"/>
      <c r="AF21" s="112"/>
      <c r="AG21" s="112"/>
      <c r="AH21" s="112"/>
      <c r="AI21" s="112"/>
      <c r="AJ21" s="112" t="s">
        <v>47</v>
      </c>
      <c r="AK21" s="112"/>
      <c r="AL21" s="112"/>
      <c r="AM21" s="112"/>
      <c r="AN21" s="112"/>
      <c r="AO21" s="112" t="s">
        <v>79</v>
      </c>
      <c r="AP21" s="112"/>
      <c r="AQ21" s="112"/>
      <c r="AR21" s="112"/>
      <c r="AS21" s="105"/>
    </row>
    <row r="22" spans="2:45" ht="12.75" customHeight="1">
      <c r="B22" s="104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393" t="s">
        <v>87</v>
      </c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105"/>
    </row>
    <row r="23" spans="2:45" ht="3.75" customHeight="1" thickBot="1">
      <c r="B23" s="12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21"/>
    </row>
    <row r="24" spans="2:45" ht="6.75" customHeight="1">
      <c r="B24" s="104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105"/>
    </row>
    <row r="25" spans="2:45" ht="15.75" customHeight="1">
      <c r="B25" s="104"/>
      <c r="C25" s="98">
        <v>1</v>
      </c>
      <c r="D25" s="98"/>
      <c r="E25" s="98" t="s">
        <v>48</v>
      </c>
      <c r="F25" s="98"/>
      <c r="G25" s="98"/>
      <c r="H25" s="98"/>
      <c r="I25" s="98"/>
      <c r="J25" s="98"/>
      <c r="K25" s="98"/>
      <c r="L25" s="98"/>
      <c r="M25" s="98"/>
      <c r="N25" s="98"/>
      <c r="O25" s="381">
        <v>6869</v>
      </c>
      <c r="P25" s="382"/>
      <c r="Q25" s="383"/>
      <c r="R25" s="118"/>
      <c r="S25" s="118"/>
      <c r="T25" s="118"/>
      <c r="U25" s="118"/>
      <c r="V25" s="118"/>
      <c r="W25" s="118"/>
      <c r="X25" s="381">
        <v>15606</v>
      </c>
      <c r="Y25" s="382"/>
      <c r="Z25" s="382"/>
      <c r="AA25" s="383"/>
      <c r="AB25" s="118"/>
      <c r="AC25" s="118"/>
      <c r="AD25" s="381">
        <v>836</v>
      </c>
      <c r="AE25" s="382"/>
      <c r="AF25" s="382"/>
      <c r="AG25" s="383"/>
      <c r="AH25" s="118"/>
      <c r="AI25" s="118"/>
      <c r="AJ25" s="118"/>
      <c r="AK25" s="118"/>
      <c r="AL25" s="118"/>
      <c r="AM25" s="118"/>
      <c r="AN25" s="118"/>
      <c r="AO25" s="394">
        <f>AD25+X25+O25</f>
        <v>23311</v>
      </c>
      <c r="AP25" s="395"/>
      <c r="AQ25" s="395"/>
      <c r="AR25" s="396"/>
      <c r="AS25" s="105"/>
    </row>
    <row r="26" spans="2:45" ht="6" customHeight="1">
      <c r="B26" s="104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9"/>
      <c r="AP26" s="119"/>
      <c r="AQ26" s="119"/>
      <c r="AR26" s="119"/>
      <c r="AS26" s="105"/>
    </row>
    <row r="27" spans="2:45" ht="16.5" customHeight="1">
      <c r="B27" s="104"/>
      <c r="C27" s="98">
        <v>2</v>
      </c>
      <c r="D27" s="98"/>
      <c r="E27" s="98" t="s">
        <v>101</v>
      </c>
      <c r="F27" s="98"/>
      <c r="G27" s="98"/>
      <c r="H27" s="98"/>
      <c r="I27" s="98"/>
      <c r="J27" s="98"/>
      <c r="K27" s="98"/>
      <c r="L27" s="98"/>
      <c r="M27" s="98"/>
      <c r="N27" s="98"/>
      <c r="O27" s="381">
        <v>22475</v>
      </c>
      <c r="P27" s="382"/>
      <c r="Q27" s="383"/>
      <c r="R27" s="118"/>
      <c r="S27" s="118"/>
      <c r="T27" s="118"/>
      <c r="U27" s="118"/>
      <c r="V27" s="118"/>
      <c r="W27" s="118"/>
      <c r="X27" s="381"/>
      <c r="Y27" s="382"/>
      <c r="Z27" s="382"/>
      <c r="AA27" s="383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401">
        <f>X27+O27</f>
        <v>22475</v>
      </c>
      <c r="AP27" s="401"/>
      <c r="AQ27" s="401"/>
      <c r="AR27" s="401"/>
      <c r="AS27" s="105"/>
    </row>
    <row r="28" spans="2:45" ht="5.25" customHeight="1">
      <c r="B28" s="104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9"/>
      <c r="AP28" s="119"/>
      <c r="AQ28" s="119"/>
      <c r="AR28" s="119"/>
      <c r="AS28" s="105"/>
    </row>
    <row r="29" spans="2:45" ht="17.25" customHeight="1">
      <c r="B29" s="104"/>
      <c r="C29" s="98">
        <v>3</v>
      </c>
      <c r="D29" s="98"/>
      <c r="E29" s="98" t="s">
        <v>49</v>
      </c>
      <c r="F29" s="98"/>
      <c r="G29" s="98"/>
      <c r="H29" s="98"/>
      <c r="I29" s="98"/>
      <c r="J29" s="98"/>
      <c r="K29" s="98"/>
      <c r="L29" s="98"/>
      <c r="M29" s="98"/>
      <c r="N29" s="98"/>
      <c r="O29" s="118"/>
      <c r="P29" s="118"/>
      <c r="Q29" s="118"/>
      <c r="R29" s="118"/>
      <c r="S29" s="118"/>
      <c r="T29" s="381">
        <v>1890</v>
      </c>
      <c r="U29" s="382"/>
      <c r="V29" s="383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381">
        <v>19</v>
      </c>
      <c r="AK29" s="382"/>
      <c r="AL29" s="382"/>
      <c r="AM29" s="383"/>
      <c r="AN29" s="118"/>
      <c r="AO29" s="394">
        <f>AJ29+T29</f>
        <v>1909</v>
      </c>
      <c r="AP29" s="395"/>
      <c r="AQ29" s="395"/>
      <c r="AR29" s="396"/>
      <c r="AS29" s="105"/>
    </row>
    <row r="30" spans="2:45" ht="5.25" customHeight="1">
      <c r="B30" s="104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9"/>
      <c r="AP30" s="119"/>
      <c r="AQ30" s="119"/>
      <c r="AR30" s="119"/>
      <c r="AS30" s="105"/>
    </row>
    <row r="31" spans="2:45" ht="17.25" customHeight="1">
      <c r="B31" s="104"/>
      <c r="C31" s="98">
        <v>4</v>
      </c>
      <c r="D31" s="98"/>
      <c r="E31" s="98" t="s">
        <v>50</v>
      </c>
      <c r="F31" s="98"/>
      <c r="G31" s="98"/>
      <c r="H31" s="98"/>
      <c r="I31" s="98"/>
      <c r="J31" s="98"/>
      <c r="K31" s="98"/>
      <c r="L31" s="98"/>
      <c r="M31" s="98"/>
      <c r="N31" s="98"/>
      <c r="O31" s="118"/>
      <c r="P31" s="118"/>
      <c r="Q31" s="118"/>
      <c r="R31" s="118"/>
      <c r="S31" s="118"/>
      <c r="T31" s="381"/>
      <c r="U31" s="382"/>
      <c r="V31" s="383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381"/>
      <c r="AK31" s="382"/>
      <c r="AL31" s="382"/>
      <c r="AM31" s="383"/>
      <c r="AN31" s="118"/>
      <c r="AO31" s="394"/>
      <c r="AP31" s="395"/>
      <c r="AQ31" s="395"/>
      <c r="AR31" s="396"/>
      <c r="AS31" s="105"/>
    </row>
    <row r="32" spans="2:45" ht="5.25" customHeight="1">
      <c r="B32" s="104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9"/>
      <c r="AP32" s="119"/>
      <c r="AQ32" s="119"/>
      <c r="AR32" s="119"/>
      <c r="AS32" s="105"/>
    </row>
    <row r="33" spans="2:45" ht="15.75" customHeight="1">
      <c r="B33" s="104"/>
      <c r="C33" s="98">
        <v>5</v>
      </c>
      <c r="D33" s="98"/>
      <c r="E33" s="98" t="s">
        <v>51</v>
      </c>
      <c r="F33" s="98"/>
      <c r="G33" s="98"/>
      <c r="H33" s="98"/>
      <c r="I33" s="98"/>
      <c r="J33" s="98"/>
      <c r="K33" s="98"/>
      <c r="L33" s="98"/>
      <c r="M33" s="98"/>
      <c r="N33" s="98"/>
      <c r="O33" s="381"/>
      <c r="P33" s="382"/>
      <c r="Q33" s="383"/>
      <c r="R33" s="118"/>
      <c r="S33" s="118"/>
      <c r="T33" s="381"/>
      <c r="U33" s="382"/>
      <c r="V33" s="383"/>
      <c r="W33" s="118"/>
      <c r="X33" s="381"/>
      <c r="Y33" s="382"/>
      <c r="Z33" s="382"/>
      <c r="AA33" s="383"/>
      <c r="AB33" s="118"/>
      <c r="AC33" s="118"/>
      <c r="AD33" s="381"/>
      <c r="AE33" s="382"/>
      <c r="AF33" s="382"/>
      <c r="AG33" s="383"/>
      <c r="AH33" s="118"/>
      <c r="AI33" s="118"/>
      <c r="AJ33" s="381"/>
      <c r="AK33" s="382"/>
      <c r="AL33" s="382"/>
      <c r="AM33" s="383"/>
      <c r="AN33" s="118"/>
      <c r="AO33" s="394"/>
      <c r="AP33" s="395"/>
      <c r="AQ33" s="395"/>
      <c r="AR33" s="396"/>
      <c r="AS33" s="105"/>
    </row>
    <row r="34" spans="2:45" ht="3.75" customHeight="1">
      <c r="B34" s="104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9"/>
      <c r="AP34" s="119"/>
      <c r="AQ34" s="119"/>
      <c r="AR34" s="119"/>
      <c r="AS34" s="105"/>
    </row>
    <row r="35" spans="2:45" ht="15.75" customHeight="1">
      <c r="B35" s="104"/>
      <c r="C35" s="98">
        <v>6</v>
      </c>
      <c r="D35" s="98"/>
      <c r="E35" s="98" t="s">
        <v>52</v>
      </c>
      <c r="F35" s="98"/>
      <c r="G35" s="98"/>
      <c r="H35" s="98"/>
      <c r="I35" s="98"/>
      <c r="J35" s="98"/>
      <c r="K35" s="98"/>
      <c r="L35" s="98"/>
      <c r="M35" s="98"/>
      <c r="N35" s="98"/>
      <c r="O35" s="381"/>
      <c r="P35" s="382"/>
      <c r="Q35" s="383"/>
      <c r="R35" s="118"/>
      <c r="S35" s="118"/>
      <c r="T35" s="381"/>
      <c r="U35" s="382"/>
      <c r="V35" s="383"/>
      <c r="W35" s="118"/>
      <c r="X35" s="381"/>
      <c r="Y35" s="382"/>
      <c r="Z35" s="382"/>
      <c r="AA35" s="383"/>
      <c r="AB35" s="118"/>
      <c r="AC35" s="118"/>
      <c r="AD35" s="381"/>
      <c r="AE35" s="382"/>
      <c r="AF35" s="382"/>
      <c r="AG35" s="383"/>
      <c r="AH35" s="118"/>
      <c r="AI35" s="118"/>
      <c r="AJ35" s="381"/>
      <c r="AK35" s="382"/>
      <c r="AL35" s="382"/>
      <c r="AM35" s="383"/>
      <c r="AN35" s="118"/>
      <c r="AO35" s="394"/>
      <c r="AP35" s="395"/>
      <c r="AQ35" s="395"/>
      <c r="AR35" s="396"/>
      <c r="AS35" s="105"/>
    </row>
    <row r="36" spans="2:45" ht="12">
      <c r="B36" s="104"/>
      <c r="C36" s="98"/>
      <c r="D36" s="98"/>
      <c r="E36" s="98" t="s">
        <v>53</v>
      </c>
      <c r="F36" s="98"/>
      <c r="G36" s="98"/>
      <c r="H36" s="98"/>
      <c r="I36" s="98"/>
      <c r="J36" s="98"/>
      <c r="K36" s="98"/>
      <c r="L36" s="98"/>
      <c r="M36" s="98"/>
      <c r="N36" s="9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9"/>
      <c r="AP36" s="119"/>
      <c r="AQ36" s="119"/>
      <c r="AR36" s="119"/>
      <c r="AS36" s="105"/>
    </row>
    <row r="37" spans="2:45" ht="3" customHeight="1">
      <c r="B37" s="104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9"/>
      <c r="AP37" s="119"/>
      <c r="AQ37" s="119"/>
      <c r="AR37" s="119"/>
      <c r="AS37" s="105"/>
    </row>
    <row r="38" spans="2:45" ht="17.25" customHeight="1">
      <c r="B38" s="104"/>
      <c r="C38" s="98"/>
      <c r="D38" s="98"/>
      <c r="E38" s="98"/>
      <c r="F38" s="98"/>
      <c r="G38" s="98"/>
      <c r="H38" s="98"/>
      <c r="I38" s="98" t="s">
        <v>6</v>
      </c>
      <c r="J38" s="98"/>
      <c r="K38" s="98"/>
      <c r="L38" s="98"/>
      <c r="M38" s="98"/>
      <c r="N38" s="98"/>
      <c r="O38" s="381">
        <f>O27+O25</f>
        <v>29344</v>
      </c>
      <c r="P38" s="382"/>
      <c r="Q38" s="383"/>
      <c r="R38" s="118"/>
      <c r="S38" s="118"/>
      <c r="T38" s="381">
        <f>T29</f>
        <v>1890</v>
      </c>
      <c r="U38" s="382"/>
      <c r="V38" s="383"/>
      <c r="W38" s="118"/>
      <c r="X38" s="381">
        <f>X25</f>
        <v>15606</v>
      </c>
      <c r="Y38" s="382"/>
      <c r="Z38" s="382"/>
      <c r="AA38" s="383"/>
      <c r="AB38" s="118"/>
      <c r="AC38" s="118"/>
      <c r="AD38" s="381">
        <f>AD25</f>
        <v>836</v>
      </c>
      <c r="AE38" s="382"/>
      <c r="AF38" s="382"/>
      <c r="AG38" s="383"/>
      <c r="AH38" s="118"/>
      <c r="AI38" s="118"/>
      <c r="AJ38" s="381">
        <f>AJ29</f>
        <v>19</v>
      </c>
      <c r="AK38" s="382"/>
      <c r="AL38" s="382"/>
      <c r="AM38" s="383"/>
      <c r="AN38" s="118"/>
      <c r="AO38" s="394">
        <f>SUM(AO29+AO27+AO25)</f>
        <v>47695</v>
      </c>
      <c r="AP38" s="395"/>
      <c r="AQ38" s="395"/>
      <c r="AR38" s="396"/>
      <c r="AS38" s="105"/>
    </row>
    <row r="39" spans="2:45" ht="6" customHeight="1">
      <c r="B39" s="104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105"/>
    </row>
    <row r="40" spans="2:45" ht="12">
      <c r="B40" s="104"/>
      <c r="C40" s="98"/>
      <c r="D40" s="98"/>
      <c r="E40" s="98"/>
      <c r="F40" s="98"/>
      <c r="G40" s="98"/>
      <c r="H40" s="98"/>
      <c r="I40" s="98"/>
      <c r="K40" s="98"/>
      <c r="L40" s="98"/>
      <c r="M40" s="98"/>
      <c r="N40" s="114" t="s">
        <v>284</v>
      </c>
      <c r="O40" s="400" t="str">
        <f>'challan detail'!A95</f>
        <v>Rs.     Only</v>
      </c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105"/>
    </row>
    <row r="41" spans="2:45" ht="3.75" customHeight="1">
      <c r="B41" s="104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105"/>
    </row>
    <row r="42" spans="2:45" ht="12">
      <c r="B42" s="104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106" t="s">
        <v>56</v>
      </c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105"/>
    </row>
    <row r="43" spans="2:45" ht="3.75" customHeight="1">
      <c r="B43" s="104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105"/>
    </row>
    <row r="44" spans="2:45" ht="12">
      <c r="B44" s="104"/>
      <c r="C44" s="98" t="s">
        <v>303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 t="s">
        <v>61</v>
      </c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105"/>
    </row>
    <row r="45" spans="2:45" ht="12">
      <c r="B45" s="104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 t="s">
        <v>66</v>
      </c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105"/>
    </row>
    <row r="46" spans="2:45" ht="12">
      <c r="B46" s="104"/>
      <c r="C46" s="98" t="s">
        <v>86</v>
      </c>
      <c r="D46" s="98"/>
      <c r="E46" s="98"/>
      <c r="F46" s="98"/>
      <c r="G46" s="98"/>
      <c r="H46" s="98"/>
      <c r="I46" s="98"/>
      <c r="J46" s="98"/>
      <c r="K46" s="98"/>
      <c r="L46" s="98"/>
      <c r="M46" s="106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 t="s">
        <v>62</v>
      </c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105"/>
    </row>
    <row r="47" spans="2:45" ht="12">
      <c r="B47" s="104"/>
      <c r="C47" s="98"/>
      <c r="D47" s="98"/>
      <c r="E47" s="98"/>
      <c r="F47" s="98"/>
      <c r="G47" s="98"/>
      <c r="H47" s="98"/>
      <c r="J47" s="98"/>
      <c r="K47" s="98"/>
      <c r="L47" s="98"/>
      <c r="M47" s="106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 t="s">
        <v>63</v>
      </c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105"/>
    </row>
    <row r="48" spans="2:45" ht="15" customHeight="1">
      <c r="B48" s="104"/>
      <c r="C48" s="122" t="s">
        <v>59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 t="s">
        <v>64</v>
      </c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105"/>
    </row>
    <row r="49" spans="2:45" ht="12">
      <c r="B49" s="104"/>
      <c r="C49" s="98" t="s">
        <v>60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 t="s">
        <v>65</v>
      </c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105"/>
    </row>
    <row r="50" spans="2:45" ht="12">
      <c r="B50" s="104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105"/>
    </row>
    <row r="51" spans="2:45" ht="12.75" customHeight="1">
      <c r="B51" s="104"/>
      <c r="C51" s="360" t="s">
        <v>55</v>
      </c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105"/>
    </row>
    <row r="52" spans="2:45" ht="9" customHeight="1">
      <c r="B52" s="104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05"/>
    </row>
    <row r="53" spans="2:45" ht="12.75" customHeight="1">
      <c r="B53" s="104"/>
      <c r="C53" s="98" t="s">
        <v>98</v>
      </c>
      <c r="D53" s="98"/>
      <c r="E53" s="98"/>
      <c r="F53" s="98"/>
      <c r="G53" s="98"/>
      <c r="H53" s="98"/>
      <c r="I53" s="98"/>
      <c r="J53" s="106"/>
      <c r="K53" s="106"/>
      <c r="L53" s="106"/>
      <c r="M53" s="98"/>
      <c r="N53" s="98"/>
      <c r="O53" s="98"/>
      <c r="P53" s="98"/>
      <c r="Q53" s="98"/>
      <c r="R53" s="98"/>
      <c r="S53" s="132" t="s">
        <v>97</v>
      </c>
      <c r="T53" s="98"/>
      <c r="U53" s="98" t="s">
        <v>94</v>
      </c>
      <c r="V53" s="98"/>
      <c r="W53" s="98"/>
      <c r="X53" s="98"/>
      <c r="Y53" s="360"/>
      <c r="Z53" s="360"/>
      <c r="AA53" s="360"/>
      <c r="AB53" s="360"/>
      <c r="AC53" s="360"/>
      <c r="AD53" s="360"/>
      <c r="AE53" s="360"/>
      <c r="AF53" s="98"/>
      <c r="AI53" s="98" t="s">
        <v>95</v>
      </c>
      <c r="AJ53" s="98"/>
      <c r="AK53" s="98"/>
      <c r="AL53" s="387"/>
      <c r="AM53" s="387"/>
      <c r="AN53" s="387"/>
      <c r="AO53" s="387"/>
      <c r="AP53" s="387"/>
      <c r="AQ53" s="387"/>
      <c r="AR53" s="98"/>
      <c r="AS53" s="105"/>
    </row>
    <row r="54" spans="2:45" ht="12.75" thickBot="1"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</row>
    <row r="55" ht="12.75" thickTop="1"/>
  </sheetData>
  <mergeCells count="65">
    <mergeCell ref="C10:AR10"/>
    <mergeCell ref="AL16:AR16"/>
    <mergeCell ref="AL18:AR18"/>
    <mergeCell ref="AI12:AJ12"/>
    <mergeCell ref="AK12:AL12"/>
    <mergeCell ref="AH16:AJ18"/>
    <mergeCell ref="Z16:AF16"/>
    <mergeCell ref="AI14:AL14"/>
    <mergeCell ref="AC14:AF14"/>
    <mergeCell ref="AC13:AF13"/>
    <mergeCell ref="H2:I2"/>
    <mergeCell ref="AO12:AP12"/>
    <mergeCell ref="AQ12:AR12"/>
    <mergeCell ref="C5:AR5"/>
    <mergeCell ref="C6:AR6"/>
    <mergeCell ref="C7:AR7"/>
    <mergeCell ref="C8:AR8"/>
    <mergeCell ref="C12:J14"/>
    <mergeCell ref="AC12:AD12"/>
    <mergeCell ref="AE12:AF12"/>
    <mergeCell ref="AJ29:AM29"/>
    <mergeCell ref="AD35:AG35"/>
    <mergeCell ref="O40:AR40"/>
    <mergeCell ref="AO27:AR27"/>
    <mergeCell ref="AJ31:AM31"/>
    <mergeCell ref="AJ33:AM33"/>
    <mergeCell ref="AJ35:AM35"/>
    <mergeCell ref="AD38:AG38"/>
    <mergeCell ref="AO38:AR38"/>
    <mergeCell ref="AO35:AR35"/>
    <mergeCell ref="L16:N18"/>
    <mergeCell ref="O25:Q25"/>
    <mergeCell ref="O27:Q27"/>
    <mergeCell ref="X25:AA25"/>
    <mergeCell ref="X27:AA27"/>
    <mergeCell ref="V16:X18"/>
    <mergeCell ref="P16:U16"/>
    <mergeCell ref="P18:U18"/>
    <mergeCell ref="Z18:AF18"/>
    <mergeCell ref="V13:AB14"/>
    <mergeCell ref="N22:AR22"/>
    <mergeCell ref="AO25:AR25"/>
    <mergeCell ref="AD33:AG33"/>
    <mergeCell ref="T31:V31"/>
    <mergeCell ref="T33:V33"/>
    <mergeCell ref="AO29:AR29"/>
    <mergeCell ref="AO31:AR31"/>
    <mergeCell ref="AO33:AR33"/>
    <mergeCell ref="T29:V29"/>
    <mergeCell ref="X38:AA38"/>
    <mergeCell ref="O38:Q38"/>
    <mergeCell ref="O35:Q35"/>
    <mergeCell ref="O33:Q33"/>
    <mergeCell ref="T35:V35"/>
    <mergeCell ref="T38:V38"/>
    <mergeCell ref="C51:AR51"/>
    <mergeCell ref="AJ38:AM38"/>
    <mergeCell ref="Y53:AE53"/>
    <mergeCell ref="AI13:AL13"/>
    <mergeCell ref="AO13:AR13"/>
    <mergeCell ref="AL53:AQ53"/>
    <mergeCell ref="AO14:AR14"/>
    <mergeCell ref="AD25:AG25"/>
    <mergeCell ref="X33:AA33"/>
    <mergeCell ref="X35:AA35"/>
  </mergeCells>
  <printOptions/>
  <pageMargins left="1" right="0.24" top="0.41" bottom="0.19" header="0.18" footer="0.12"/>
  <pageSetup horizontalDpi="180" verticalDpi="18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Z54"/>
  <sheetViews>
    <sheetView workbookViewId="0" topLeftCell="A19">
      <selection activeCell="AJ61" sqref="AJ61"/>
    </sheetView>
  </sheetViews>
  <sheetFormatPr defaultColWidth="9.140625" defaultRowHeight="12.75"/>
  <cols>
    <col min="1" max="3" width="2.8515625" style="97" customWidth="1"/>
    <col min="4" max="4" width="0.9921875" style="97" customWidth="1"/>
    <col min="5" max="9" width="2.8515625" style="97" customWidth="1"/>
    <col min="10" max="10" width="9.00390625" style="97" customWidth="1"/>
    <col min="11" max="11" width="0.5625" style="97" customWidth="1"/>
    <col min="12" max="13" width="4.421875" style="97" customWidth="1"/>
    <col min="14" max="14" width="2.57421875" style="97" customWidth="1"/>
    <col min="15" max="15" width="4.57421875" style="97" customWidth="1"/>
    <col min="16" max="17" width="2.8515625" style="97" customWidth="1"/>
    <col min="18" max="18" width="1.57421875" style="97" customWidth="1"/>
    <col min="19" max="20" width="2.8515625" style="97" customWidth="1"/>
    <col min="21" max="21" width="3.8515625" style="97" customWidth="1"/>
    <col min="22" max="23" width="2.8515625" style="97" customWidth="1"/>
    <col min="24" max="25" width="2.7109375" style="97" customWidth="1"/>
    <col min="26" max="26" width="2.57421875" style="97" bestFit="1" customWidth="1"/>
    <col min="27" max="27" width="3.140625" style="97" customWidth="1"/>
    <col min="28" max="28" width="2.140625" style="97" customWidth="1"/>
    <col min="29" max="29" width="2.8515625" style="97" customWidth="1"/>
    <col min="30" max="30" width="2.00390625" style="97" customWidth="1"/>
    <col min="31" max="31" width="2.421875" style="97" customWidth="1"/>
    <col min="32" max="32" width="2.8515625" style="97" customWidth="1"/>
    <col min="33" max="33" width="2.00390625" style="97" customWidth="1"/>
    <col min="34" max="34" width="1.7109375" style="97" customWidth="1"/>
    <col min="35" max="35" width="2.57421875" style="97" customWidth="1"/>
    <col min="36" max="36" width="2.7109375" style="97" customWidth="1"/>
    <col min="37" max="37" width="2.00390625" style="97" customWidth="1"/>
    <col min="38" max="38" width="3.28125" style="97" customWidth="1"/>
    <col min="39" max="39" width="2.7109375" style="97" customWidth="1"/>
    <col min="40" max="41" width="2.28125" style="97" customWidth="1"/>
    <col min="42" max="42" width="2.7109375" style="97" customWidth="1"/>
    <col min="43" max="43" width="2.57421875" style="97" customWidth="1"/>
    <col min="44" max="45" width="2.8515625" style="97" customWidth="1"/>
    <col min="46" max="46" width="2.28125" style="97" customWidth="1"/>
    <col min="47" max="47" width="1.1484375" style="97" customWidth="1"/>
    <col min="48" max="48" width="0.9921875" style="97" customWidth="1"/>
    <col min="49" max="49" width="1.57421875" style="97" customWidth="1"/>
    <col min="50" max="50" width="0.42578125" style="97" customWidth="1"/>
    <col min="51" max="51" width="2.8515625" style="97" hidden="1" customWidth="1"/>
    <col min="52" max="52" width="11.57421875" style="97" customWidth="1"/>
    <col min="53" max="16384" width="2.8515625" style="97" customWidth="1"/>
  </cols>
  <sheetData>
    <row r="1" ht="6" customHeight="1" thickBot="1"/>
    <row r="2" spans="2:9" ht="12.75" thickBot="1">
      <c r="B2" s="97" t="s">
        <v>73</v>
      </c>
      <c r="H2" s="402">
        <v>8</v>
      </c>
      <c r="I2" s="403"/>
    </row>
    <row r="3" ht="4.5" customHeight="1" thickBot="1"/>
    <row r="4" spans="2:45" ht="4.5" customHeight="1" thickTop="1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3"/>
    </row>
    <row r="5" spans="2:45" ht="15.75" customHeight="1">
      <c r="B5" s="104"/>
      <c r="C5" s="404" t="s">
        <v>68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105"/>
    </row>
    <row r="6" spans="2:45" ht="15" customHeight="1">
      <c r="B6" s="104"/>
      <c r="C6" s="360" t="s">
        <v>30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105"/>
    </row>
    <row r="7" spans="2:52" ht="18">
      <c r="B7" s="110"/>
      <c r="C7" s="405" t="s">
        <v>67</v>
      </c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111"/>
      <c r="AZ7" s="133">
        <f ca="1">TODAY()</f>
        <v>40380</v>
      </c>
    </row>
    <row r="8" spans="2:52" ht="12">
      <c r="B8" s="104"/>
      <c r="C8" s="406" t="s">
        <v>31</v>
      </c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105"/>
      <c r="AZ8" s="133"/>
    </row>
    <row r="9" spans="2:52" ht="12">
      <c r="B9" s="104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105"/>
      <c r="AZ9" s="134">
        <f ca="1">TODAY()</f>
        <v>40380</v>
      </c>
    </row>
    <row r="10" spans="2:45" ht="15">
      <c r="B10" s="104"/>
      <c r="C10" s="393" t="s">
        <v>99</v>
      </c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105"/>
    </row>
    <row r="11" spans="2:45" ht="12">
      <c r="B11" s="104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105"/>
    </row>
    <row r="12" spans="2:45" ht="12">
      <c r="B12" s="104"/>
      <c r="C12" s="391" t="s">
        <v>32</v>
      </c>
      <c r="D12" s="391"/>
      <c r="E12" s="391"/>
      <c r="F12" s="391"/>
      <c r="G12" s="391"/>
      <c r="H12" s="391"/>
      <c r="I12" s="391"/>
      <c r="J12" s="391"/>
      <c r="K12" s="98"/>
      <c r="L12" s="98" t="s">
        <v>57</v>
      </c>
      <c r="M12" s="98"/>
      <c r="N12" s="98"/>
      <c r="O12" s="98"/>
      <c r="P12" s="113">
        <f>VLOOKUP($H$2,'PF-DATA'!$A$3:$M$15,2,0)</f>
        <v>0</v>
      </c>
      <c r="Q12" s="113">
        <f>VLOOKUP($H$2,'PF-DATA'!$A$3:$M$15,3,0)</f>
        <v>8</v>
      </c>
      <c r="R12" s="99"/>
      <c r="S12" s="113">
        <f>VLOOKUP($H$2,'PF-DATA'!$A$3:$M$15,4,0)</f>
        <v>0</v>
      </c>
      <c r="T12" s="113">
        <f>VLOOKUP($H$2,'PF-DATA'!$A$3:$M$15,5,0)</f>
        <v>7</v>
      </c>
      <c r="U12" s="98"/>
      <c r="V12" s="98"/>
      <c r="W12" s="98"/>
      <c r="X12" s="98"/>
      <c r="Y12" s="98"/>
      <c r="Z12" s="98"/>
      <c r="AA12" s="98"/>
      <c r="AB12" s="98"/>
      <c r="AC12" s="389" t="s">
        <v>34</v>
      </c>
      <c r="AD12" s="389"/>
      <c r="AE12" s="389" t="s">
        <v>34</v>
      </c>
      <c r="AF12" s="389"/>
      <c r="AG12" s="98"/>
      <c r="AH12" s="98"/>
      <c r="AI12" s="389" t="s">
        <v>35</v>
      </c>
      <c r="AJ12" s="389"/>
      <c r="AK12" s="389" t="s">
        <v>35</v>
      </c>
      <c r="AL12" s="389"/>
      <c r="AM12" s="98"/>
      <c r="AN12" s="98"/>
      <c r="AO12" s="389" t="s">
        <v>37</v>
      </c>
      <c r="AP12" s="389"/>
      <c r="AQ12" s="389" t="s">
        <v>37</v>
      </c>
      <c r="AR12" s="389"/>
      <c r="AS12" s="105"/>
    </row>
    <row r="13" spans="2:50" ht="3" customHeight="1">
      <c r="B13" s="104"/>
      <c r="C13" s="391"/>
      <c r="D13" s="391"/>
      <c r="E13" s="391"/>
      <c r="F13" s="391"/>
      <c r="G13" s="391"/>
      <c r="H13" s="391"/>
      <c r="I13" s="391"/>
      <c r="J13" s="391"/>
      <c r="K13" s="98"/>
      <c r="L13" s="98"/>
      <c r="M13" s="98"/>
      <c r="N13" s="98"/>
      <c r="O13" s="98"/>
      <c r="P13" s="99"/>
      <c r="Q13" s="99"/>
      <c r="R13" s="99"/>
      <c r="S13" s="99"/>
      <c r="T13" s="99"/>
      <c r="U13" s="98"/>
      <c r="V13" s="391" t="s">
        <v>33</v>
      </c>
      <c r="W13" s="391"/>
      <c r="X13" s="391"/>
      <c r="Y13" s="391"/>
      <c r="Z13" s="391"/>
      <c r="AA13" s="391"/>
      <c r="AB13" s="392"/>
      <c r="AC13" s="384"/>
      <c r="AD13" s="385"/>
      <c r="AE13" s="385"/>
      <c r="AF13" s="386"/>
      <c r="AG13" s="98"/>
      <c r="AH13" s="98"/>
      <c r="AI13" s="384"/>
      <c r="AJ13" s="385"/>
      <c r="AK13" s="385"/>
      <c r="AL13" s="386"/>
      <c r="AM13" s="98"/>
      <c r="AN13" s="98"/>
      <c r="AO13" s="384"/>
      <c r="AP13" s="385"/>
      <c r="AQ13" s="385"/>
      <c r="AR13" s="386"/>
      <c r="AS13" s="105"/>
      <c r="AX13" s="98"/>
    </row>
    <row r="14" spans="2:45" ht="12">
      <c r="B14" s="104"/>
      <c r="C14" s="391"/>
      <c r="D14" s="391"/>
      <c r="E14" s="391"/>
      <c r="F14" s="391"/>
      <c r="G14" s="391"/>
      <c r="H14" s="391"/>
      <c r="I14" s="391"/>
      <c r="J14" s="391"/>
      <c r="K14" s="98"/>
      <c r="L14" s="98" t="s">
        <v>58</v>
      </c>
      <c r="M14" s="98"/>
      <c r="N14" s="98"/>
      <c r="O14" s="98"/>
      <c r="P14" s="113">
        <f>P12</f>
        <v>0</v>
      </c>
      <c r="Q14" s="113">
        <f>Q12</f>
        <v>8</v>
      </c>
      <c r="R14" s="99"/>
      <c r="S14" s="113">
        <f>S12</f>
        <v>0</v>
      </c>
      <c r="T14" s="113">
        <f>T12</f>
        <v>7</v>
      </c>
      <c r="U14" s="98"/>
      <c r="V14" s="391"/>
      <c r="W14" s="391"/>
      <c r="X14" s="391"/>
      <c r="Y14" s="391"/>
      <c r="Z14" s="391"/>
      <c r="AA14" s="391"/>
      <c r="AB14" s="392"/>
      <c r="AC14" s="407">
        <f ca="1">TODAY()</f>
        <v>40380</v>
      </c>
      <c r="AD14" s="408"/>
      <c r="AE14" s="408"/>
      <c r="AF14" s="409"/>
      <c r="AG14" s="98"/>
      <c r="AH14" s="98"/>
      <c r="AI14" s="388">
        <f>MONTH(AZ7)</f>
        <v>7</v>
      </c>
      <c r="AJ14" s="389"/>
      <c r="AK14" s="389"/>
      <c r="AL14" s="390"/>
      <c r="AM14" s="98"/>
      <c r="AN14" s="98"/>
      <c r="AO14" s="388">
        <f>YEAR(AZ7)</f>
        <v>2010</v>
      </c>
      <c r="AP14" s="389"/>
      <c r="AQ14" s="389"/>
      <c r="AR14" s="390"/>
      <c r="AS14" s="105"/>
    </row>
    <row r="15" spans="2:45" ht="7.5" customHeight="1">
      <c r="B15" s="104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105"/>
    </row>
    <row r="16" spans="2:45" ht="12.75" customHeight="1">
      <c r="B16" s="104"/>
      <c r="C16" s="98" t="s">
        <v>36</v>
      </c>
      <c r="D16" s="98"/>
      <c r="E16" s="98"/>
      <c r="F16" s="98"/>
      <c r="G16" s="98"/>
      <c r="H16" s="98"/>
      <c r="I16" s="98"/>
      <c r="J16" s="98"/>
      <c r="K16" s="98"/>
      <c r="L16" s="393" t="s">
        <v>39</v>
      </c>
      <c r="M16" s="393"/>
      <c r="N16" s="393"/>
      <c r="O16" s="98"/>
      <c r="P16" s="397">
        <f>VLOOKUP($H$2,'PF-DATA'!$A$3:$M$15,6,0)</f>
        <v>0</v>
      </c>
      <c r="Q16" s="398"/>
      <c r="R16" s="398"/>
      <c r="S16" s="398"/>
      <c r="T16" s="398"/>
      <c r="U16" s="399"/>
      <c r="V16" s="393" t="s">
        <v>40</v>
      </c>
      <c r="W16" s="393"/>
      <c r="X16" s="393"/>
      <c r="Y16" s="98"/>
      <c r="Z16" s="397">
        <f>P16</f>
        <v>0</v>
      </c>
      <c r="AA16" s="398"/>
      <c r="AB16" s="398"/>
      <c r="AC16" s="398"/>
      <c r="AD16" s="398"/>
      <c r="AE16" s="398"/>
      <c r="AF16" s="399"/>
      <c r="AG16" s="98"/>
      <c r="AH16" s="393" t="s">
        <v>41</v>
      </c>
      <c r="AI16" s="393"/>
      <c r="AJ16" s="393"/>
      <c r="AK16" s="98"/>
      <c r="AL16" s="397">
        <f>P16</f>
        <v>0</v>
      </c>
      <c r="AM16" s="398"/>
      <c r="AN16" s="398"/>
      <c r="AO16" s="398"/>
      <c r="AP16" s="398"/>
      <c r="AQ16" s="398"/>
      <c r="AR16" s="399"/>
      <c r="AS16" s="105"/>
    </row>
    <row r="17" spans="2:45" ht="3" customHeight="1">
      <c r="B17" s="104"/>
      <c r="C17" s="98"/>
      <c r="D17" s="98"/>
      <c r="E17" s="98"/>
      <c r="F17" s="98"/>
      <c r="G17" s="98"/>
      <c r="H17" s="98"/>
      <c r="I17" s="98"/>
      <c r="J17" s="98"/>
      <c r="K17" s="98"/>
      <c r="L17" s="393"/>
      <c r="M17" s="393"/>
      <c r="N17" s="393"/>
      <c r="O17" s="98"/>
      <c r="P17" s="98"/>
      <c r="Q17" s="98"/>
      <c r="R17" s="98"/>
      <c r="S17" s="98"/>
      <c r="T17" s="98"/>
      <c r="U17" s="98"/>
      <c r="V17" s="393"/>
      <c r="W17" s="393"/>
      <c r="X17" s="393"/>
      <c r="Y17" s="98"/>
      <c r="Z17" s="98"/>
      <c r="AA17" s="98"/>
      <c r="AB17" s="98"/>
      <c r="AC17" s="98"/>
      <c r="AD17" s="98"/>
      <c r="AE17" s="98"/>
      <c r="AF17" s="98"/>
      <c r="AG17" s="98"/>
      <c r="AH17" s="393"/>
      <c r="AI17" s="393"/>
      <c r="AJ17" s="393"/>
      <c r="AK17" s="98"/>
      <c r="AL17" s="98"/>
      <c r="AM17" s="98"/>
      <c r="AN17" s="98"/>
      <c r="AO17" s="98"/>
      <c r="AP17" s="98"/>
      <c r="AQ17" s="98"/>
      <c r="AR17" s="98"/>
      <c r="AS17" s="105"/>
    </row>
    <row r="18" spans="2:45" ht="12">
      <c r="B18" s="104"/>
      <c r="C18" s="98" t="s">
        <v>38</v>
      </c>
      <c r="D18" s="98"/>
      <c r="E18" s="98"/>
      <c r="F18" s="98"/>
      <c r="G18" s="98"/>
      <c r="H18" s="98"/>
      <c r="I18" s="98"/>
      <c r="J18" s="98"/>
      <c r="K18" s="98"/>
      <c r="L18" s="393"/>
      <c r="M18" s="393"/>
      <c r="N18" s="393"/>
      <c r="O18" s="98"/>
      <c r="P18" s="397">
        <f>VLOOKUP($H$2,'PF-DATA'!$A$3:$M$15,7,0)</f>
        <v>0</v>
      </c>
      <c r="Q18" s="398"/>
      <c r="R18" s="398"/>
      <c r="S18" s="398"/>
      <c r="T18" s="398"/>
      <c r="U18" s="399"/>
      <c r="V18" s="393"/>
      <c r="W18" s="393"/>
      <c r="X18" s="393"/>
      <c r="Y18" s="98"/>
      <c r="Z18" s="397">
        <f>P18</f>
        <v>0</v>
      </c>
      <c r="AA18" s="398"/>
      <c r="AB18" s="398"/>
      <c r="AC18" s="398"/>
      <c r="AD18" s="398"/>
      <c r="AE18" s="398"/>
      <c r="AF18" s="399"/>
      <c r="AG18" s="98"/>
      <c r="AH18" s="393"/>
      <c r="AI18" s="393"/>
      <c r="AJ18" s="393"/>
      <c r="AK18" s="98"/>
      <c r="AL18" s="397">
        <f>P18</f>
        <v>0</v>
      </c>
      <c r="AM18" s="398"/>
      <c r="AN18" s="398"/>
      <c r="AO18" s="398"/>
      <c r="AP18" s="398"/>
      <c r="AQ18" s="398"/>
      <c r="AR18" s="399"/>
      <c r="AS18" s="105"/>
    </row>
    <row r="19" spans="2:45" ht="6" customHeight="1" thickBot="1">
      <c r="B19" s="12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21"/>
    </row>
    <row r="20" spans="2:45" ht="6" customHeight="1">
      <c r="B20" s="104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105"/>
    </row>
    <row r="21" spans="2:45" ht="12">
      <c r="B21" s="104"/>
      <c r="C21" s="98" t="s">
        <v>42</v>
      </c>
      <c r="D21" s="98"/>
      <c r="E21" s="98" t="s">
        <v>43</v>
      </c>
      <c r="F21" s="98"/>
      <c r="G21" s="98"/>
      <c r="H21" s="98"/>
      <c r="I21" s="98"/>
      <c r="J21" s="98"/>
      <c r="K21" s="98"/>
      <c r="L21" s="112"/>
      <c r="M21" s="112"/>
      <c r="N21" s="112"/>
      <c r="O21" s="112" t="s">
        <v>44</v>
      </c>
      <c r="P21" s="112"/>
      <c r="Q21" s="112"/>
      <c r="R21" s="112"/>
      <c r="S21" s="112"/>
      <c r="T21" s="112" t="s">
        <v>45</v>
      </c>
      <c r="U21" s="112"/>
      <c r="V21" s="112"/>
      <c r="W21" s="112"/>
      <c r="X21" s="112" t="s">
        <v>78</v>
      </c>
      <c r="Y21" s="112"/>
      <c r="Z21" s="112"/>
      <c r="AA21" s="112"/>
      <c r="AB21" s="112"/>
      <c r="AC21" s="112"/>
      <c r="AD21" s="112" t="s">
        <v>46</v>
      </c>
      <c r="AE21" s="112"/>
      <c r="AF21" s="112"/>
      <c r="AG21" s="112"/>
      <c r="AH21" s="112"/>
      <c r="AI21" s="112"/>
      <c r="AJ21" s="112" t="s">
        <v>47</v>
      </c>
      <c r="AK21" s="112"/>
      <c r="AL21" s="112"/>
      <c r="AM21" s="112"/>
      <c r="AN21" s="112"/>
      <c r="AO21" s="112" t="s">
        <v>79</v>
      </c>
      <c r="AP21" s="112"/>
      <c r="AQ21" s="112"/>
      <c r="AR21" s="112"/>
      <c r="AS21" s="105"/>
    </row>
    <row r="22" spans="2:45" ht="12.75" customHeight="1">
      <c r="B22" s="104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393" t="s">
        <v>87</v>
      </c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105"/>
    </row>
    <row r="23" spans="2:45" ht="3.75" customHeight="1" thickBot="1">
      <c r="B23" s="12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21"/>
    </row>
    <row r="24" spans="2:45" ht="6.75" customHeight="1">
      <c r="B24" s="104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105"/>
    </row>
    <row r="25" spans="2:45" ht="15.75" customHeight="1">
      <c r="B25" s="104"/>
      <c r="C25" s="98">
        <v>1</v>
      </c>
      <c r="D25" s="98"/>
      <c r="E25" s="98" t="s">
        <v>48</v>
      </c>
      <c r="F25" s="98"/>
      <c r="G25" s="98"/>
      <c r="H25" s="98"/>
      <c r="I25" s="98"/>
      <c r="J25" s="98"/>
      <c r="K25" s="98"/>
      <c r="L25" s="98"/>
      <c r="M25" s="98"/>
      <c r="N25" s="98"/>
      <c r="O25" s="381">
        <f>VLOOKUP($H$2,'PF-DATA'!$A$3:$M$15,9,0)</f>
        <v>0</v>
      </c>
      <c r="P25" s="382"/>
      <c r="Q25" s="383"/>
      <c r="R25" s="118"/>
      <c r="S25" s="118"/>
      <c r="T25" s="118"/>
      <c r="U25" s="118"/>
      <c r="V25" s="118"/>
      <c r="W25" s="118"/>
      <c r="X25" s="381">
        <f>VLOOKUP($H$2,'PF-DATA'!$A$3:$M$15,11,0)</f>
        <v>0</v>
      </c>
      <c r="Y25" s="382"/>
      <c r="Z25" s="382"/>
      <c r="AA25" s="383"/>
      <c r="AB25" s="118"/>
      <c r="AC25" s="118"/>
      <c r="AD25" s="381">
        <f>VLOOKUP($H$2,'PF-DATA'!$A$3:$M$15,12,0)</f>
        <v>0</v>
      </c>
      <c r="AE25" s="382"/>
      <c r="AF25" s="382"/>
      <c r="AG25" s="383"/>
      <c r="AH25" s="118"/>
      <c r="AI25" s="118"/>
      <c r="AJ25" s="118"/>
      <c r="AK25" s="118"/>
      <c r="AL25" s="118"/>
      <c r="AM25" s="118"/>
      <c r="AN25" s="118"/>
      <c r="AO25" s="394">
        <f>AD25+X25+O25</f>
        <v>0</v>
      </c>
      <c r="AP25" s="395"/>
      <c r="AQ25" s="395"/>
      <c r="AR25" s="396"/>
      <c r="AS25" s="105"/>
    </row>
    <row r="26" spans="2:45" ht="6" customHeight="1">
      <c r="B26" s="104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9"/>
      <c r="AP26" s="119"/>
      <c r="AQ26" s="119"/>
      <c r="AR26" s="119"/>
      <c r="AS26" s="105"/>
    </row>
    <row r="27" spans="2:45" ht="16.5" customHeight="1">
      <c r="B27" s="104"/>
      <c r="C27" s="98">
        <v>2</v>
      </c>
      <c r="D27" s="98"/>
      <c r="E27" s="98" t="s">
        <v>101</v>
      </c>
      <c r="F27" s="98"/>
      <c r="G27" s="98"/>
      <c r="H27" s="98"/>
      <c r="I27" s="98"/>
      <c r="J27" s="98"/>
      <c r="K27" s="98"/>
      <c r="L27" s="98"/>
      <c r="M27" s="98"/>
      <c r="N27" s="98"/>
      <c r="O27" s="381">
        <f>VLOOKUP($H$2,'PF-DATA'!$A$3:$M$15,8,0)</f>
        <v>0</v>
      </c>
      <c r="P27" s="382"/>
      <c r="Q27" s="383"/>
      <c r="R27" s="118"/>
      <c r="S27" s="118"/>
      <c r="T27" s="118"/>
      <c r="U27" s="118"/>
      <c r="V27" s="118"/>
      <c r="W27" s="118"/>
      <c r="X27" s="381"/>
      <c r="Y27" s="382"/>
      <c r="Z27" s="382"/>
      <c r="AA27" s="383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401">
        <f>X27+O27</f>
        <v>0</v>
      </c>
      <c r="AP27" s="401"/>
      <c r="AQ27" s="401"/>
      <c r="AR27" s="401"/>
      <c r="AS27" s="105"/>
    </row>
    <row r="28" spans="2:45" ht="5.25" customHeight="1">
      <c r="B28" s="104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9"/>
      <c r="AP28" s="119"/>
      <c r="AQ28" s="119"/>
      <c r="AR28" s="119"/>
      <c r="AS28" s="105"/>
    </row>
    <row r="29" spans="2:45" ht="17.25" customHeight="1">
      <c r="B29" s="104"/>
      <c r="C29" s="98">
        <v>3</v>
      </c>
      <c r="D29" s="98"/>
      <c r="E29" s="98" t="s">
        <v>49</v>
      </c>
      <c r="F29" s="98"/>
      <c r="G29" s="98"/>
      <c r="H29" s="98"/>
      <c r="I29" s="98"/>
      <c r="J29" s="98"/>
      <c r="K29" s="98"/>
      <c r="L29" s="98"/>
      <c r="M29" s="98"/>
      <c r="N29" s="98"/>
      <c r="O29" s="118"/>
      <c r="P29" s="118"/>
      <c r="Q29" s="118"/>
      <c r="R29" s="118"/>
      <c r="S29" s="118"/>
      <c r="T29" s="381">
        <f>VLOOKUP($H$2,'PF-DATA'!$A$3:$M$15,10,0)</f>
        <v>0</v>
      </c>
      <c r="U29" s="382"/>
      <c r="V29" s="383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381">
        <f>VLOOKUP($H$2,'PF-DATA'!$A$3:$M$15,13,0)</f>
        <v>0</v>
      </c>
      <c r="AK29" s="382"/>
      <c r="AL29" s="382"/>
      <c r="AM29" s="383"/>
      <c r="AN29" s="118"/>
      <c r="AO29" s="394">
        <f>AJ29+T29</f>
        <v>0</v>
      </c>
      <c r="AP29" s="395"/>
      <c r="AQ29" s="395"/>
      <c r="AR29" s="396"/>
      <c r="AS29" s="105"/>
    </row>
    <row r="30" spans="2:45" ht="5.25" customHeight="1">
      <c r="B30" s="104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9"/>
      <c r="AP30" s="119"/>
      <c r="AQ30" s="119"/>
      <c r="AR30" s="119"/>
      <c r="AS30" s="105"/>
    </row>
    <row r="31" spans="2:45" ht="17.25" customHeight="1">
      <c r="B31" s="104"/>
      <c r="C31" s="98">
        <v>4</v>
      </c>
      <c r="D31" s="98"/>
      <c r="E31" s="98" t="s">
        <v>50</v>
      </c>
      <c r="F31" s="98"/>
      <c r="G31" s="98"/>
      <c r="H31" s="98"/>
      <c r="I31" s="98"/>
      <c r="J31" s="98"/>
      <c r="K31" s="98"/>
      <c r="L31" s="98"/>
      <c r="M31" s="98"/>
      <c r="N31" s="98"/>
      <c r="O31" s="118"/>
      <c r="P31" s="118"/>
      <c r="Q31" s="118"/>
      <c r="R31" s="118"/>
      <c r="S31" s="118"/>
      <c r="T31" s="381"/>
      <c r="U31" s="382"/>
      <c r="V31" s="383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381"/>
      <c r="AK31" s="382"/>
      <c r="AL31" s="382"/>
      <c r="AM31" s="383"/>
      <c r="AN31" s="118"/>
      <c r="AO31" s="394"/>
      <c r="AP31" s="395"/>
      <c r="AQ31" s="395"/>
      <c r="AR31" s="396"/>
      <c r="AS31" s="105"/>
    </row>
    <row r="32" spans="2:45" ht="5.25" customHeight="1">
      <c r="B32" s="104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9"/>
      <c r="AP32" s="119"/>
      <c r="AQ32" s="119"/>
      <c r="AR32" s="119"/>
      <c r="AS32" s="105"/>
    </row>
    <row r="33" spans="2:45" ht="15.75" customHeight="1">
      <c r="B33" s="104"/>
      <c r="C33" s="98">
        <v>5</v>
      </c>
      <c r="D33" s="98"/>
      <c r="E33" s="98" t="s">
        <v>51</v>
      </c>
      <c r="F33" s="98"/>
      <c r="G33" s="98"/>
      <c r="H33" s="98"/>
      <c r="I33" s="98"/>
      <c r="J33" s="98"/>
      <c r="K33" s="98"/>
      <c r="L33" s="98"/>
      <c r="M33" s="98"/>
      <c r="N33" s="98"/>
      <c r="O33" s="381"/>
      <c r="P33" s="382"/>
      <c r="Q33" s="383"/>
      <c r="R33" s="118"/>
      <c r="S33" s="118"/>
      <c r="T33" s="381"/>
      <c r="U33" s="382"/>
      <c r="V33" s="383"/>
      <c r="W33" s="118"/>
      <c r="X33" s="381"/>
      <c r="Y33" s="382"/>
      <c r="Z33" s="382"/>
      <c r="AA33" s="383"/>
      <c r="AB33" s="118"/>
      <c r="AC33" s="118"/>
      <c r="AD33" s="381"/>
      <c r="AE33" s="382"/>
      <c r="AF33" s="382"/>
      <c r="AG33" s="383"/>
      <c r="AH33" s="118"/>
      <c r="AI33" s="118"/>
      <c r="AJ33" s="381"/>
      <c r="AK33" s="382"/>
      <c r="AL33" s="382"/>
      <c r="AM33" s="383"/>
      <c r="AN33" s="118"/>
      <c r="AO33" s="394"/>
      <c r="AP33" s="395"/>
      <c r="AQ33" s="395"/>
      <c r="AR33" s="396"/>
      <c r="AS33" s="105"/>
    </row>
    <row r="34" spans="2:45" ht="3.75" customHeight="1">
      <c r="B34" s="104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9"/>
      <c r="AP34" s="119"/>
      <c r="AQ34" s="119"/>
      <c r="AR34" s="119"/>
      <c r="AS34" s="105"/>
    </row>
    <row r="35" spans="2:45" ht="15.75" customHeight="1">
      <c r="B35" s="104"/>
      <c r="C35" s="98">
        <v>6</v>
      </c>
      <c r="D35" s="98"/>
      <c r="E35" s="98" t="s">
        <v>52</v>
      </c>
      <c r="F35" s="98"/>
      <c r="G35" s="98"/>
      <c r="H35" s="98"/>
      <c r="I35" s="98"/>
      <c r="J35" s="98"/>
      <c r="K35" s="98"/>
      <c r="L35" s="98"/>
      <c r="M35" s="98"/>
      <c r="N35" s="98"/>
      <c r="O35" s="381"/>
      <c r="P35" s="382"/>
      <c r="Q35" s="383"/>
      <c r="R35" s="118"/>
      <c r="S35" s="118"/>
      <c r="T35" s="381"/>
      <c r="U35" s="382"/>
      <c r="V35" s="383"/>
      <c r="W35" s="118"/>
      <c r="X35" s="381"/>
      <c r="Y35" s="382"/>
      <c r="Z35" s="382"/>
      <c r="AA35" s="383"/>
      <c r="AB35" s="118"/>
      <c r="AC35" s="118"/>
      <c r="AD35" s="381"/>
      <c r="AE35" s="382"/>
      <c r="AF35" s="382"/>
      <c r="AG35" s="383"/>
      <c r="AH35" s="118"/>
      <c r="AI35" s="118"/>
      <c r="AJ35" s="381"/>
      <c r="AK35" s="382"/>
      <c r="AL35" s="382"/>
      <c r="AM35" s="383"/>
      <c r="AN35" s="118"/>
      <c r="AO35" s="394"/>
      <c r="AP35" s="395"/>
      <c r="AQ35" s="395"/>
      <c r="AR35" s="396"/>
      <c r="AS35" s="105"/>
    </row>
    <row r="36" spans="2:45" ht="12">
      <c r="B36" s="104"/>
      <c r="C36" s="98"/>
      <c r="D36" s="98"/>
      <c r="E36" s="98" t="s">
        <v>53</v>
      </c>
      <c r="F36" s="98"/>
      <c r="G36" s="98"/>
      <c r="H36" s="98"/>
      <c r="I36" s="98"/>
      <c r="J36" s="98"/>
      <c r="K36" s="98"/>
      <c r="L36" s="98"/>
      <c r="M36" s="98"/>
      <c r="N36" s="9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9"/>
      <c r="AP36" s="119"/>
      <c r="AQ36" s="119"/>
      <c r="AR36" s="119"/>
      <c r="AS36" s="105"/>
    </row>
    <row r="37" spans="2:45" ht="3" customHeight="1">
      <c r="B37" s="104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9"/>
      <c r="AP37" s="119"/>
      <c r="AQ37" s="119"/>
      <c r="AR37" s="119"/>
      <c r="AS37" s="105"/>
    </row>
    <row r="38" spans="2:45" ht="17.25" customHeight="1">
      <c r="B38" s="104"/>
      <c r="C38" s="98"/>
      <c r="D38" s="98"/>
      <c r="E38" s="98"/>
      <c r="F38" s="98"/>
      <c r="G38" s="98"/>
      <c r="H38" s="98"/>
      <c r="I38" s="98" t="s">
        <v>6</v>
      </c>
      <c r="J38" s="98"/>
      <c r="K38" s="98"/>
      <c r="L38" s="98"/>
      <c r="M38" s="98"/>
      <c r="N38" s="98"/>
      <c r="O38" s="381">
        <f>O27+O25</f>
        <v>0</v>
      </c>
      <c r="P38" s="382"/>
      <c r="Q38" s="383"/>
      <c r="R38" s="118"/>
      <c r="S38" s="118"/>
      <c r="T38" s="381">
        <f>T29</f>
        <v>0</v>
      </c>
      <c r="U38" s="382"/>
      <c r="V38" s="383"/>
      <c r="W38" s="118"/>
      <c r="X38" s="381">
        <f>X25</f>
        <v>0</v>
      </c>
      <c r="Y38" s="382"/>
      <c r="Z38" s="382"/>
      <c r="AA38" s="383"/>
      <c r="AB38" s="118"/>
      <c r="AC38" s="118"/>
      <c r="AD38" s="381">
        <f>AD25</f>
        <v>0</v>
      </c>
      <c r="AE38" s="382"/>
      <c r="AF38" s="382"/>
      <c r="AG38" s="383"/>
      <c r="AH38" s="118"/>
      <c r="AI38" s="118"/>
      <c r="AJ38" s="381">
        <f>AJ29</f>
        <v>0</v>
      </c>
      <c r="AK38" s="382"/>
      <c r="AL38" s="382"/>
      <c r="AM38" s="383"/>
      <c r="AN38" s="118"/>
      <c r="AO38" s="394">
        <f>SUM(AO29+AO27+AO25)</f>
        <v>0</v>
      </c>
      <c r="AP38" s="395"/>
      <c r="AQ38" s="395"/>
      <c r="AR38" s="396"/>
      <c r="AS38" s="105"/>
    </row>
    <row r="39" spans="2:45" ht="6" customHeight="1">
      <c r="B39" s="104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105"/>
    </row>
    <row r="40" spans="2:45" ht="12">
      <c r="B40" s="104"/>
      <c r="C40" s="98"/>
      <c r="D40" s="98"/>
      <c r="E40" s="98"/>
      <c r="F40" s="98"/>
      <c r="G40" s="98"/>
      <c r="H40" s="98"/>
      <c r="I40" s="98"/>
      <c r="K40" s="98"/>
      <c r="L40" s="98"/>
      <c r="M40" s="98"/>
      <c r="N40" s="114" t="s">
        <v>284</v>
      </c>
      <c r="O40" s="400" t="str">
        <f>'challan detail'!A95</f>
        <v>Rs.     Only</v>
      </c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105"/>
    </row>
    <row r="41" spans="2:45" ht="3.75" customHeight="1">
      <c r="B41" s="104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105"/>
    </row>
    <row r="42" spans="2:45" ht="12">
      <c r="B42" s="104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106" t="s">
        <v>56</v>
      </c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105"/>
    </row>
    <row r="43" spans="2:45" ht="3.75" customHeight="1">
      <c r="B43" s="104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105"/>
    </row>
    <row r="44" spans="2:45" ht="12">
      <c r="B44" s="104"/>
      <c r="C44" s="98" t="s">
        <v>297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 t="s">
        <v>61</v>
      </c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105"/>
    </row>
    <row r="45" spans="2:45" ht="12">
      <c r="B45" s="104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 t="s">
        <v>66</v>
      </c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105"/>
    </row>
    <row r="46" spans="2:45" ht="12">
      <c r="B46" s="104"/>
      <c r="C46" s="98" t="s">
        <v>86</v>
      </c>
      <c r="D46" s="98"/>
      <c r="E46" s="98"/>
      <c r="F46" s="98"/>
      <c r="G46" s="98"/>
      <c r="H46" s="98"/>
      <c r="I46" s="98"/>
      <c r="J46" s="98"/>
      <c r="K46" s="98"/>
      <c r="L46" s="98"/>
      <c r="M46" s="106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 t="s">
        <v>62</v>
      </c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105"/>
    </row>
    <row r="47" spans="2:45" ht="12">
      <c r="B47" s="104"/>
      <c r="C47" s="98"/>
      <c r="D47" s="98"/>
      <c r="E47" s="98"/>
      <c r="F47" s="98"/>
      <c r="G47" s="98"/>
      <c r="H47" s="98"/>
      <c r="J47" s="98"/>
      <c r="K47" s="98"/>
      <c r="L47" s="98"/>
      <c r="M47" s="106" t="s">
        <v>54</v>
      </c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 t="s">
        <v>63</v>
      </c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105"/>
    </row>
    <row r="48" spans="2:45" ht="15" customHeight="1">
      <c r="B48" s="104"/>
      <c r="C48" s="122" t="s">
        <v>59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 t="s">
        <v>64</v>
      </c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105"/>
    </row>
    <row r="49" spans="2:45" ht="12">
      <c r="B49" s="104"/>
      <c r="C49" s="98" t="s">
        <v>60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 t="s">
        <v>65</v>
      </c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105"/>
    </row>
    <row r="50" spans="2:45" ht="12">
      <c r="B50" s="104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105"/>
    </row>
    <row r="51" spans="2:45" ht="12.75" customHeight="1">
      <c r="B51" s="104"/>
      <c r="C51" s="360" t="s">
        <v>55</v>
      </c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105"/>
    </row>
    <row r="52" spans="2:45" ht="9" customHeight="1">
      <c r="B52" s="104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05"/>
    </row>
    <row r="53" spans="2:45" ht="12">
      <c r="B53" s="104"/>
      <c r="C53" s="391" t="s">
        <v>98</v>
      </c>
      <c r="D53" s="391"/>
      <c r="E53" s="391"/>
      <c r="F53" s="391"/>
      <c r="G53" s="391"/>
      <c r="H53" s="391"/>
      <c r="I53" s="391"/>
      <c r="J53" s="391"/>
      <c r="K53" s="106">
        <f>VLOOKUP($H$2,'PF-DATA'!$A$3:$AM$15,18,0)</f>
        <v>0</v>
      </c>
      <c r="L53" s="98"/>
      <c r="M53" s="98"/>
      <c r="N53" s="98"/>
      <c r="O53" s="98"/>
      <c r="P53" s="98"/>
      <c r="Q53" s="98"/>
      <c r="R53" s="98"/>
      <c r="S53" s="132" t="s">
        <v>97</v>
      </c>
      <c r="T53" s="98"/>
      <c r="U53" s="98" t="s">
        <v>94</v>
      </c>
      <c r="V53" s="98"/>
      <c r="W53" s="98"/>
      <c r="X53" s="98"/>
      <c r="Y53" s="106">
        <f>VLOOKUP($H$2,'PF-DATA'!$A$3:$AM$15,19,0)</f>
        <v>0</v>
      </c>
      <c r="AA53" s="98"/>
      <c r="AB53" s="132" t="s">
        <v>96</v>
      </c>
      <c r="AD53" s="98"/>
      <c r="AE53" s="98"/>
      <c r="AF53" s="98"/>
      <c r="AI53" s="98" t="s">
        <v>95</v>
      </c>
      <c r="AJ53" s="98"/>
      <c r="AK53" s="98"/>
      <c r="AL53" s="387">
        <f>VLOOKUP($H$2,'PF-DATA'!$A$3:$AM$15,20,0)</f>
        <v>0</v>
      </c>
      <c r="AM53" s="387"/>
      <c r="AN53" s="387"/>
      <c r="AO53" s="387"/>
      <c r="AP53" s="387"/>
      <c r="AQ53" s="387"/>
      <c r="AR53" s="98"/>
      <c r="AS53" s="105"/>
    </row>
    <row r="54" spans="2:45" ht="12.75" thickBot="1"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</row>
    <row r="55" ht="12.75" thickTop="1"/>
  </sheetData>
  <mergeCells count="65">
    <mergeCell ref="AI13:AL13"/>
    <mergeCell ref="AO13:AR13"/>
    <mergeCell ref="C53:J53"/>
    <mergeCell ref="AL53:AQ53"/>
    <mergeCell ref="AO14:AR14"/>
    <mergeCell ref="O38:Q38"/>
    <mergeCell ref="O35:Q35"/>
    <mergeCell ref="O33:Q33"/>
    <mergeCell ref="T29:V29"/>
    <mergeCell ref="AD25:AG25"/>
    <mergeCell ref="T35:V35"/>
    <mergeCell ref="T38:V38"/>
    <mergeCell ref="X33:AA33"/>
    <mergeCell ref="X35:AA35"/>
    <mergeCell ref="X38:AA38"/>
    <mergeCell ref="C51:AR51"/>
    <mergeCell ref="AO29:AR29"/>
    <mergeCell ref="AO31:AR31"/>
    <mergeCell ref="AO33:AR33"/>
    <mergeCell ref="AO35:AR35"/>
    <mergeCell ref="AD33:AG33"/>
    <mergeCell ref="AD35:AG35"/>
    <mergeCell ref="T31:V31"/>
    <mergeCell ref="T33:V33"/>
    <mergeCell ref="AJ29:AM29"/>
    <mergeCell ref="V13:AB14"/>
    <mergeCell ref="N22:AR22"/>
    <mergeCell ref="AO25:AR25"/>
    <mergeCell ref="AJ38:AM38"/>
    <mergeCell ref="L16:N18"/>
    <mergeCell ref="O25:Q25"/>
    <mergeCell ref="O27:Q27"/>
    <mergeCell ref="X25:AA25"/>
    <mergeCell ref="X27:AA27"/>
    <mergeCell ref="V16:X18"/>
    <mergeCell ref="O40:AR40"/>
    <mergeCell ref="AO27:AR27"/>
    <mergeCell ref="P16:U16"/>
    <mergeCell ref="P18:U18"/>
    <mergeCell ref="AJ31:AM31"/>
    <mergeCell ref="AJ33:AM33"/>
    <mergeCell ref="AJ35:AM35"/>
    <mergeCell ref="AD38:AG38"/>
    <mergeCell ref="Z18:AF18"/>
    <mergeCell ref="AO38:AR38"/>
    <mergeCell ref="H2:I2"/>
    <mergeCell ref="AO12:AP12"/>
    <mergeCell ref="AQ12:AR12"/>
    <mergeCell ref="C5:AR5"/>
    <mergeCell ref="C6:AR6"/>
    <mergeCell ref="C7:AR7"/>
    <mergeCell ref="C8:AR8"/>
    <mergeCell ref="C12:J14"/>
    <mergeCell ref="AC12:AD12"/>
    <mergeCell ref="AE12:AF12"/>
    <mergeCell ref="C10:AR10"/>
    <mergeCell ref="AL16:AR16"/>
    <mergeCell ref="AL18:AR18"/>
    <mergeCell ref="AI12:AJ12"/>
    <mergeCell ref="AK12:AL12"/>
    <mergeCell ref="AH16:AJ18"/>
    <mergeCell ref="Z16:AF16"/>
    <mergeCell ref="AI14:AL14"/>
    <mergeCell ref="AC14:AF14"/>
    <mergeCell ref="AC13:AF13"/>
  </mergeCells>
  <printOptions/>
  <pageMargins left="1" right="0.24" top="0.41" bottom="0.19" header="0.18" footer="0.12"/>
  <pageSetup horizontalDpi="180" verticalDpi="18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44"/>
  <sheetViews>
    <sheetView workbookViewId="0" topLeftCell="D16">
      <selection activeCell="W41" sqref="W41"/>
    </sheetView>
  </sheetViews>
  <sheetFormatPr defaultColWidth="9.140625" defaultRowHeight="12.75"/>
  <cols>
    <col min="1" max="1" width="5.00390625" style="0" customWidth="1"/>
    <col min="2" max="2" width="0.9921875" style="0" customWidth="1"/>
    <col min="3" max="3" width="8.00390625" style="0" customWidth="1"/>
    <col min="4" max="4" width="6.7109375" style="0" customWidth="1"/>
    <col min="5" max="5" width="6.8515625" style="0" customWidth="1"/>
    <col min="6" max="6" width="6.28125" style="0" customWidth="1"/>
    <col min="7" max="7" width="1.421875" style="0" customWidth="1"/>
    <col min="8" max="8" width="5.8515625" style="0" customWidth="1"/>
    <col min="9" max="9" width="7.57421875" style="0" customWidth="1"/>
    <col min="10" max="10" width="6.421875" style="0" customWidth="1"/>
    <col min="11" max="11" width="5.421875" style="0" customWidth="1"/>
    <col min="12" max="13" width="5.00390625" style="0" customWidth="1"/>
    <col min="14" max="14" width="1.28515625" style="0" customWidth="1"/>
    <col min="15" max="15" width="4.00390625" style="0" customWidth="1"/>
    <col min="16" max="16" width="1.1484375" style="0" customWidth="1"/>
    <col min="17" max="17" width="6.8515625" style="0" customWidth="1"/>
    <col min="18" max="18" width="5.7109375" style="0" customWidth="1"/>
    <col min="19" max="19" width="5.421875" style="0" customWidth="1"/>
    <col min="20" max="20" width="6.00390625" style="0" customWidth="1"/>
    <col min="21" max="21" width="1.8515625" style="0" customWidth="1"/>
    <col min="22" max="22" width="7.28125" style="0" customWidth="1"/>
    <col min="23" max="23" width="8.7109375" style="0" customWidth="1"/>
    <col min="24" max="24" width="5.00390625" style="0" customWidth="1"/>
    <col min="25" max="25" width="5.57421875" style="0" customWidth="1"/>
    <col min="26" max="27" width="5.7109375" style="0" customWidth="1"/>
    <col min="28" max="28" width="1.28515625" style="0" customWidth="1"/>
    <col min="29" max="16384" width="5.00390625" style="0" customWidth="1"/>
  </cols>
  <sheetData>
    <row r="1" spans="2:15" ht="5.25" customHeight="1">
      <c r="B1" s="334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6"/>
    </row>
    <row r="2" spans="2:27" ht="15.75">
      <c r="B2" s="337"/>
      <c r="C2" s="338"/>
      <c r="D2" s="6"/>
      <c r="E2" s="6"/>
      <c r="F2" s="6"/>
      <c r="G2" s="339"/>
      <c r="H2" s="339" t="s">
        <v>102</v>
      </c>
      <c r="I2" s="6"/>
      <c r="J2" s="6"/>
      <c r="K2" s="6" t="s">
        <v>138</v>
      </c>
      <c r="L2" s="6"/>
      <c r="M2" s="6"/>
      <c r="N2" s="6"/>
      <c r="O2" s="340"/>
      <c r="Q2" s="347"/>
      <c r="R2" s="335"/>
      <c r="S2" s="335"/>
      <c r="T2" s="335"/>
      <c r="U2" s="348"/>
      <c r="V2" s="348" t="s">
        <v>102</v>
      </c>
      <c r="W2" s="335"/>
      <c r="X2" s="335"/>
      <c r="Y2" s="335" t="s">
        <v>138</v>
      </c>
      <c r="Z2" s="335"/>
      <c r="AA2" s="349"/>
    </row>
    <row r="3" spans="2:27" ht="17.25" customHeight="1">
      <c r="B3" s="337"/>
      <c r="C3" s="422" t="s">
        <v>103</v>
      </c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6"/>
      <c r="O3" s="340"/>
      <c r="Q3" s="423" t="s">
        <v>103</v>
      </c>
      <c r="R3" s="422"/>
      <c r="S3" s="422"/>
      <c r="T3" s="422"/>
      <c r="U3" s="422"/>
      <c r="V3" s="422"/>
      <c r="W3" s="422"/>
      <c r="X3" s="422"/>
      <c r="Y3" s="422"/>
      <c r="Z3" s="422"/>
      <c r="AA3" s="424"/>
    </row>
    <row r="4" spans="2:27" ht="12.75">
      <c r="B4" s="337"/>
      <c r="C4" s="422" t="s">
        <v>104</v>
      </c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6"/>
      <c r="O4" s="340"/>
      <c r="Q4" s="423" t="s">
        <v>104</v>
      </c>
      <c r="R4" s="422"/>
      <c r="S4" s="422"/>
      <c r="T4" s="422"/>
      <c r="U4" s="422"/>
      <c r="V4" s="422"/>
      <c r="W4" s="422"/>
      <c r="X4" s="422"/>
      <c r="Y4" s="422"/>
      <c r="Z4" s="422"/>
      <c r="AA4" s="424"/>
    </row>
    <row r="5" spans="2:27" ht="12.75">
      <c r="B5" s="337"/>
      <c r="C5" s="422" t="s">
        <v>30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6"/>
      <c r="O5" s="340"/>
      <c r="Q5" s="423" t="s">
        <v>30</v>
      </c>
      <c r="R5" s="422"/>
      <c r="S5" s="422"/>
      <c r="T5" s="422"/>
      <c r="U5" s="422"/>
      <c r="V5" s="422"/>
      <c r="W5" s="422"/>
      <c r="X5" s="422"/>
      <c r="Y5" s="422"/>
      <c r="Z5" s="422"/>
      <c r="AA5" s="424"/>
    </row>
    <row r="6" spans="2:27" ht="12.75">
      <c r="B6" s="33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40"/>
      <c r="Q6" s="337"/>
      <c r="R6" s="6"/>
      <c r="S6" s="6"/>
      <c r="T6" s="6"/>
      <c r="U6" s="6"/>
      <c r="V6" s="6"/>
      <c r="W6" s="6"/>
      <c r="X6" s="6"/>
      <c r="Y6" s="6"/>
      <c r="Z6" s="6"/>
      <c r="AA6" s="350"/>
    </row>
    <row r="7" spans="2:27" s="136" customFormat="1" ht="12.75" customHeight="1">
      <c r="B7" s="138"/>
      <c r="C7" s="137" t="s">
        <v>299</v>
      </c>
      <c r="D7" s="137"/>
      <c r="E7" s="137"/>
      <c r="F7" s="137"/>
      <c r="G7" s="137"/>
      <c r="H7" s="137"/>
      <c r="I7" s="137"/>
      <c r="J7" s="137"/>
      <c r="K7" s="341" t="s">
        <v>122</v>
      </c>
      <c r="L7" s="425">
        <v>39300</v>
      </c>
      <c r="M7" s="425"/>
      <c r="N7" s="137"/>
      <c r="O7" s="340"/>
      <c r="Q7" s="138" t="str">
        <f>C7</f>
        <v>Station : Gurgaon</v>
      </c>
      <c r="R7" s="137"/>
      <c r="S7" s="137"/>
      <c r="T7" s="137"/>
      <c r="U7" s="137"/>
      <c r="V7" s="137"/>
      <c r="W7" s="137"/>
      <c r="X7" s="137"/>
      <c r="Y7" s="341" t="s">
        <v>122</v>
      </c>
      <c r="Z7" s="425">
        <f>+L7</f>
        <v>39300</v>
      </c>
      <c r="AA7" s="426"/>
    </row>
    <row r="8" spans="2:27" s="136" customFormat="1" ht="6" customHeight="1">
      <c r="B8" s="138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340"/>
      <c r="Q8" s="138"/>
      <c r="R8" s="137"/>
      <c r="S8" s="137"/>
      <c r="T8" s="137"/>
      <c r="U8" s="137"/>
      <c r="V8" s="137"/>
      <c r="W8" s="137"/>
      <c r="X8" s="137"/>
      <c r="Y8" s="137"/>
      <c r="Z8" s="137"/>
      <c r="AA8" s="340"/>
    </row>
    <row r="9" spans="2:27" s="136" customFormat="1" ht="14.25" customHeight="1">
      <c r="B9" s="138"/>
      <c r="C9" s="427" t="s">
        <v>105</v>
      </c>
      <c r="D9" s="428"/>
      <c r="E9" s="428"/>
      <c r="F9" s="428"/>
      <c r="G9" s="428"/>
      <c r="H9" s="428"/>
      <c r="I9" s="428"/>
      <c r="J9" s="429"/>
      <c r="K9" s="427" t="s">
        <v>106</v>
      </c>
      <c r="L9" s="428"/>
      <c r="M9" s="429"/>
      <c r="N9" s="137"/>
      <c r="O9" s="340"/>
      <c r="Q9" s="427" t="s">
        <v>105</v>
      </c>
      <c r="R9" s="428"/>
      <c r="S9" s="428"/>
      <c r="T9" s="428"/>
      <c r="U9" s="428"/>
      <c r="V9" s="428"/>
      <c r="W9" s="428"/>
      <c r="X9" s="429"/>
      <c r="Y9" s="427" t="s">
        <v>106</v>
      </c>
      <c r="Z9" s="428"/>
      <c r="AA9" s="429"/>
    </row>
    <row r="10" spans="2:27" s="136" customFormat="1" ht="11.25">
      <c r="B10" s="138"/>
      <c r="C10" s="138"/>
      <c r="D10" s="137"/>
      <c r="E10" s="430" t="str">
        <f>" Cheque No. 529544 "</f>
        <v> Cheque No. 529544 </v>
      </c>
      <c r="F10" s="430"/>
      <c r="G10" s="430"/>
      <c r="H10" s="430"/>
      <c r="I10" s="137"/>
      <c r="J10" s="137"/>
      <c r="K10" s="432">
        <v>12344</v>
      </c>
      <c r="L10" s="430"/>
      <c r="M10" s="433"/>
      <c r="N10" s="137"/>
      <c r="O10" s="340"/>
      <c r="Q10" s="138"/>
      <c r="R10" s="137"/>
      <c r="S10" s="430" t="str">
        <f>E10</f>
        <v> Cheque No. 529544 </v>
      </c>
      <c r="T10" s="430"/>
      <c r="U10" s="430"/>
      <c r="V10" s="430"/>
      <c r="W10" s="137"/>
      <c r="X10" s="137"/>
      <c r="Y10" s="432">
        <f>K10</f>
        <v>12344</v>
      </c>
      <c r="Z10" s="430"/>
      <c r="AA10" s="433"/>
    </row>
    <row r="11" spans="2:27" s="136" customFormat="1" ht="11.25">
      <c r="B11" s="138"/>
      <c r="C11" s="138"/>
      <c r="D11" s="137"/>
      <c r="E11" s="431"/>
      <c r="F11" s="431"/>
      <c r="G11" s="431"/>
      <c r="H11" s="431"/>
      <c r="I11" s="137"/>
      <c r="J11" s="137"/>
      <c r="K11" s="434"/>
      <c r="L11" s="435"/>
      <c r="M11" s="436"/>
      <c r="N11" s="137"/>
      <c r="O11" s="340"/>
      <c r="Q11" s="138"/>
      <c r="R11" s="137"/>
      <c r="S11" s="431"/>
      <c r="T11" s="431"/>
      <c r="U11" s="431"/>
      <c r="V11" s="431"/>
      <c r="W11" s="137"/>
      <c r="X11" s="137"/>
      <c r="Y11" s="434"/>
      <c r="Z11" s="435"/>
      <c r="AA11" s="436"/>
    </row>
    <row r="12" spans="2:27" s="136" customFormat="1" ht="16.5" customHeight="1">
      <c r="B12" s="138"/>
      <c r="C12" s="139"/>
      <c r="D12" s="140"/>
      <c r="E12" s="140"/>
      <c r="F12" s="140"/>
      <c r="G12" s="140"/>
      <c r="H12" s="140"/>
      <c r="I12" s="140"/>
      <c r="J12" s="135" t="s">
        <v>6</v>
      </c>
      <c r="K12" s="416">
        <f>K10</f>
        <v>12344</v>
      </c>
      <c r="L12" s="417"/>
      <c r="M12" s="418"/>
      <c r="N12" s="137"/>
      <c r="O12" s="340"/>
      <c r="Q12" s="139"/>
      <c r="R12" s="140"/>
      <c r="S12" s="140"/>
      <c r="T12" s="140"/>
      <c r="U12" s="140"/>
      <c r="V12" s="140"/>
      <c r="W12" s="140"/>
      <c r="X12" s="135" t="s">
        <v>6</v>
      </c>
      <c r="Y12" s="416">
        <f>Y10</f>
        <v>12344</v>
      </c>
      <c r="Z12" s="417"/>
      <c r="AA12" s="418"/>
    </row>
    <row r="13" spans="2:27" s="136" customFormat="1" ht="11.25">
      <c r="B13" s="138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340"/>
      <c r="Q13" s="138"/>
      <c r="R13" s="137"/>
      <c r="S13" s="137"/>
      <c r="T13" s="137"/>
      <c r="U13" s="137"/>
      <c r="V13" s="137"/>
      <c r="W13" s="137"/>
      <c r="X13" s="137"/>
      <c r="Y13" s="137"/>
      <c r="Z13" s="137"/>
      <c r="AA13" s="340"/>
    </row>
    <row r="14" spans="2:27" s="136" customFormat="1" ht="11.25" customHeight="1">
      <c r="B14" s="138"/>
      <c r="C14" s="137" t="str">
        <f>"Paid into the credit of the employee's State Insurance Fund A/c No.01 Rs. "&amp;K12</f>
        <v>Paid into the credit of the employee's State Insurance Fund A/c No.01 Rs. 12344</v>
      </c>
      <c r="D14" s="13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340"/>
      <c r="Q14" s="138" t="str">
        <f>C14</f>
        <v>Paid into the credit of the employee's State Insurance Fund A/c No.01 Rs. 12344</v>
      </c>
      <c r="R14" s="137"/>
      <c r="S14" s="137"/>
      <c r="T14" s="137"/>
      <c r="U14" s="137"/>
      <c r="V14" s="137"/>
      <c r="W14" s="137"/>
      <c r="X14" s="137"/>
      <c r="Y14" s="137"/>
      <c r="Z14" s="137"/>
      <c r="AA14" s="340"/>
    </row>
    <row r="15" spans="2:27" s="136" customFormat="1" ht="11.25">
      <c r="B15" s="138"/>
      <c r="C15" s="13" t="s">
        <v>300</v>
      </c>
      <c r="D15" s="13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340"/>
      <c r="Q15" s="351" t="str">
        <f>+C15</f>
        <v>Rupees:Forty six thousand eight hundred eight only) </v>
      </c>
      <c r="R15" s="5"/>
      <c r="S15" s="137"/>
      <c r="T15" s="137"/>
      <c r="U15" s="137"/>
      <c r="V15" s="137"/>
      <c r="W15" s="137"/>
      <c r="X15" s="137"/>
      <c r="Y15" s="137"/>
      <c r="Z15" s="137"/>
      <c r="AA15" s="340"/>
    </row>
    <row r="16" spans="2:27" s="136" customFormat="1" ht="41.25" customHeight="1">
      <c r="B16" s="138"/>
      <c r="C16" s="411" t="s">
        <v>301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137"/>
      <c r="O16" s="340"/>
      <c r="Q16" s="410" t="str">
        <f>C16</f>
        <v>in Cash / by Cheque (on realisation) for Payment of Contribution as per details given below under the Employee's State Insurance Act,1948 for the </v>
      </c>
      <c r="R16" s="411"/>
      <c r="S16" s="411"/>
      <c r="T16" s="411"/>
      <c r="U16" s="411"/>
      <c r="V16" s="411"/>
      <c r="W16" s="411"/>
      <c r="X16" s="411"/>
      <c r="Y16" s="411"/>
      <c r="Z16" s="411"/>
      <c r="AA16" s="412"/>
    </row>
    <row r="17" spans="2:27" s="136" customFormat="1" ht="11.25">
      <c r="B17" s="138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340"/>
      <c r="Q17" s="138"/>
      <c r="R17" s="137"/>
      <c r="S17" s="137"/>
      <c r="T17" s="137"/>
      <c r="U17" s="137"/>
      <c r="V17" s="137"/>
      <c r="W17" s="137"/>
      <c r="X17" s="137"/>
      <c r="Y17" s="137"/>
      <c r="Z17" s="137"/>
      <c r="AA17" s="340"/>
    </row>
    <row r="18" spans="2:27" s="136" customFormat="1" ht="11.25">
      <c r="B18" s="138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340"/>
      <c r="Q18" s="138"/>
      <c r="R18" s="137"/>
      <c r="S18" s="137"/>
      <c r="T18" s="137"/>
      <c r="U18" s="137"/>
      <c r="V18" s="137"/>
      <c r="W18" s="137"/>
      <c r="X18" s="137"/>
      <c r="Y18" s="137"/>
      <c r="Z18" s="137"/>
      <c r="AA18" s="340"/>
    </row>
    <row r="19" spans="2:27" s="136" customFormat="1" ht="12">
      <c r="B19" s="138"/>
      <c r="C19" s="137" t="s">
        <v>109</v>
      </c>
      <c r="D19" s="137"/>
      <c r="E19" s="137"/>
      <c r="F19" s="137"/>
      <c r="G19" s="13" t="s">
        <v>110</v>
      </c>
      <c r="H19" s="343"/>
      <c r="I19" s="137"/>
      <c r="J19" s="137"/>
      <c r="K19" s="137"/>
      <c r="L19" s="137"/>
      <c r="M19" s="137"/>
      <c r="N19" s="137"/>
      <c r="O19" s="340"/>
      <c r="Q19" s="138" t="s">
        <v>109</v>
      </c>
      <c r="R19" s="137"/>
      <c r="S19" s="137"/>
      <c r="T19" s="137"/>
      <c r="U19" s="13" t="s">
        <v>110</v>
      </c>
      <c r="V19" s="343"/>
      <c r="W19" s="137"/>
      <c r="X19" s="137"/>
      <c r="Y19" s="137"/>
      <c r="Z19" s="137"/>
      <c r="AA19" s="340"/>
    </row>
    <row r="20" spans="2:27" s="136" customFormat="1" ht="11.25">
      <c r="B20" s="138"/>
      <c r="C20" s="411" t="s">
        <v>121</v>
      </c>
      <c r="D20" s="411"/>
      <c r="E20" s="411"/>
      <c r="F20" s="411"/>
      <c r="G20" s="13" t="s">
        <v>110</v>
      </c>
      <c r="H20" s="13"/>
      <c r="I20" s="137"/>
      <c r="J20" s="137"/>
      <c r="K20" s="137"/>
      <c r="L20" s="137"/>
      <c r="M20" s="137"/>
      <c r="N20" s="137"/>
      <c r="O20" s="340"/>
      <c r="Q20" s="410" t="s">
        <v>121</v>
      </c>
      <c r="R20" s="411"/>
      <c r="S20" s="411"/>
      <c r="T20" s="411"/>
      <c r="U20" s="13" t="s">
        <v>110</v>
      </c>
      <c r="V20" s="13"/>
      <c r="W20" s="137"/>
      <c r="X20" s="137"/>
      <c r="Y20" s="137"/>
      <c r="Z20" s="137"/>
      <c r="AA20" s="340"/>
    </row>
    <row r="21" spans="2:27" s="136" customFormat="1" ht="12">
      <c r="B21" s="138"/>
      <c r="C21" s="411"/>
      <c r="D21" s="411"/>
      <c r="E21" s="411"/>
      <c r="F21" s="411"/>
      <c r="G21" s="137"/>
      <c r="H21" s="106"/>
      <c r="I21" s="137"/>
      <c r="J21" s="137"/>
      <c r="K21" s="137"/>
      <c r="L21" s="137"/>
      <c r="M21" s="341" t="s">
        <v>139</v>
      </c>
      <c r="N21" s="137"/>
      <c r="O21" s="340"/>
      <c r="Q21" s="410"/>
      <c r="R21" s="411"/>
      <c r="S21" s="411"/>
      <c r="T21" s="411"/>
      <c r="U21" s="137"/>
      <c r="V21" s="106"/>
      <c r="W21" s="137"/>
      <c r="X21" s="137"/>
      <c r="Y21" s="137"/>
      <c r="Z21" s="137"/>
      <c r="AA21" s="353" t="s">
        <v>139</v>
      </c>
    </row>
    <row r="22" spans="2:27" s="136" customFormat="1" ht="12">
      <c r="B22" s="138"/>
      <c r="C22" s="342"/>
      <c r="D22" s="342"/>
      <c r="E22" s="342"/>
      <c r="F22" s="342"/>
      <c r="G22" s="137"/>
      <c r="H22" s="106"/>
      <c r="I22" s="137"/>
      <c r="J22" s="137"/>
      <c r="K22" s="137"/>
      <c r="L22" s="137"/>
      <c r="M22" s="137"/>
      <c r="N22" s="137"/>
      <c r="O22" s="340"/>
      <c r="Q22" s="352"/>
      <c r="R22" s="342"/>
      <c r="S22" s="342"/>
      <c r="T22" s="342"/>
      <c r="U22" s="137"/>
      <c r="V22" s="106"/>
      <c r="W22" s="137"/>
      <c r="X22" s="137"/>
      <c r="Y22" s="137"/>
      <c r="Z22" s="137"/>
      <c r="AA22" s="340"/>
    </row>
    <row r="23" spans="2:27" s="136" customFormat="1" ht="11.25">
      <c r="B23" s="138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340"/>
      <c r="Q23" s="138"/>
      <c r="R23" s="137"/>
      <c r="S23" s="137"/>
      <c r="T23" s="137"/>
      <c r="U23" s="137"/>
      <c r="V23" s="137"/>
      <c r="W23" s="137"/>
      <c r="X23" s="137"/>
      <c r="Y23" s="137"/>
      <c r="Z23" s="137"/>
      <c r="AA23" s="340"/>
    </row>
    <row r="24" spans="2:28" s="136" customFormat="1" ht="11.25">
      <c r="B24" s="138"/>
      <c r="C24" s="141" t="s">
        <v>140</v>
      </c>
      <c r="D24" s="137"/>
      <c r="E24" s="137"/>
      <c r="F24" s="164">
        <v>37</v>
      </c>
      <c r="G24" s="137"/>
      <c r="H24" s="137"/>
      <c r="I24" s="137"/>
      <c r="J24" s="137"/>
      <c r="K24" s="137"/>
      <c r="L24" s="137"/>
      <c r="M24" s="137"/>
      <c r="N24" s="137"/>
      <c r="O24" s="340"/>
      <c r="Q24" s="354" t="s">
        <v>140</v>
      </c>
      <c r="R24" s="137"/>
      <c r="S24" s="137"/>
      <c r="T24" s="164">
        <f>F24</f>
        <v>37</v>
      </c>
      <c r="U24" s="137"/>
      <c r="V24" s="137"/>
      <c r="W24" s="137"/>
      <c r="X24" s="137"/>
      <c r="Y24" s="137"/>
      <c r="Z24" s="137"/>
      <c r="AA24" s="340"/>
      <c r="AB24" s="137"/>
    </row>
    <row r="25" spans="2:28" s="136" customFormat="1" ht="4.5" customHeight="1">
      <c r="B25" s="138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340"/>
      <c r="Q25" s="138"/>
      <c r="R25" s="137"/>
      <c r="S25" s="137"/>
      <c r="T25" s="137"/>
      <c r="U25" s="137"/>
      <c r="V25" s="137"/>
      <c r="W25" s="137"/>
      <c r="X25" s="137"/>
      <c r="Y25" s="137"/>
      <c r="Z25" s="137"/>
      <c r="AA25" s="340"/>
      <c r="AB25" s="137"/>
    </row>
    <row r="26" spans="2:28" s="136" customFormat="1" ht="11.25" customHeight="1">
      <c r="B26" s="138"/>
      <c r="C26" s="141" t="s">
        <v>141</v>
      </c>
      <c r="D26" s="137"/>
      <c r="E26" s="137"/>
      <c r="F26" s="344">
        <v>187065</v>
      </c>
      <c r="G26" s="344"/>
      <c r="H26" s="344"/>
      <c r="I26" s="137"/>
      <c r="J26" s="137"/>
      <c r="K26" s="137"/>
      <c r="L26" s="137"/>
      <c r="M26" s="137"/>
      <c r="N26" s="137"/>
      <c r="O26" s="340"/>
      <c r="Q26" s="354" t="s">
        <v>141</v>
      </c>
      <c r="R26" s="137"/>
      <c r="S26" s="137"/>
      <c r="T26" s="437">
        <f>F26</f>
        <v>187065</v>
      </c>
      <c r="U26" s="437"/>
      <c r="V26" s="437"/>
      <c r="W26" s="137"/>
      <c r="X26" s="137"/>
      <c r="Y26" s="137"/>
      <c r="Z26" s="137"/>
      <c r="AA26" s="340"/>
      <c r="AB26" s="137"/>
    </row>
    <row r="27" spans="2:28" s="136" customFormat="1" ht="15" customHeight="1">
      <c r="B27" s="138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340"/>
      <c r="Q27" s="138"/>
      <c r="R27" s="137"/>
      <c r="S27" s="137"/>
      <c r="T27" s="137"/>
      <c r="U27" s="137"/>
      <c r="V27" s="137"/>
      <c r="W27" s="137"/>
      <c r="X27" s="137"/>
      <c r="Y27" s="137"/>
      <c r="Z27" s="137"/>
      <c r="AA27" s="340"/>
      <c r="AB27" s="137"/>
    </row>
    <row r="28" spans="2:28" s="136" customFormat="1" ht="15" customHeight="1">
      <c r="B28" s="138"/>
      <c r="C28" s="137"/>
      <c r="D28" s="137"/>
      <c r="E28" s="137"/>
      <c r="F28" s="137"/>
      <c r="G28" s="137"/>
      <c r="H28" s="136" t="s">
        <v>107</v>
      </c>
      <c r="I28" s="137"/>
      <c r="J28" s="137"/>
      <c r="K28" s="413">
        <v>3294</v>
      </c>
      <c r="L28" s="414"/>
      <c r="M28" s="415"/>
      <c r="N28" s="137"/>
      <c r="O28" s="340"/>
      <c r="Q28" s="138"/>
      <c r="R28" s="137"/>
      <c r="S28" s="137"/>
      <c r="T28" s="137" t="s">
        <v>107</v>
      </c>
      <c r="U28" s="137"/>
      <c r="V28" s="137"/>
      <c r="W28" s="137"/>
      <c r="X28" s="137"/>
      <c r="Y28" s="413">
        <f>K28</f>
        <v>3294</v>
      </c>
      <c r="Z28" s="414"/>
      <c r="AA28" s="415"/>
      <c r="AB28" s="137"/>
    </row>
    <row r="29" spans="2:28" s="136" customFormat="1" ht="6" customHeight="1">
      <c r="B29" s="138"/>
      <c r="C29" s="137"/>
      <c r="D29" s="137"/>
      <c r="E29" s="137"/>
      <c r="F29" s="137"/>
      <c r="G29" s="137"/>
      <c r="I29" s="137"/>
      <c r="J29" s="137"/>
      <c r="K29" s="165"/>
      <c r="L29" s="165"/>
      <c r="M29" s="165"/>
      <c r="N29" s="137"/>
      <c r="O29" s="340"/>
      <c r="Q29" s="138"/>
      <c r="R29" s="137"/>
      <c r="S29" s="137"/>
      <c r="T29" s="137"/>
      <c r="U29" s="137"/>
      <c r="V29" s="137"/>
      <c r="W29" s="137"/>
      <c r="X29" s="137"/>
      <c r="Y29" s="165"/>
      <c r="Z29" s="165"/>
      <c r="AA29" s="355"/>
      <c r="AB29" s="137"/>
    </row>
    <row r="30" spans="2:28" s="136" customFormat="1" ht="15" customHeight="1">
      <c r="B30" s="138"/>
      <c r="C30" s="137"/>
      <c r="D30" s="137"/>
      <c r="E30" s="137"/>
      <c r="F30" s="137"/>
      <c r="G30" s="137"/>
      <c r="H30" s="136" t="s">
        <v>108</v>
      </c>
      <c r="I30" s="137"/>
      <c r="J30" s="137"/>
      <c r="K30" s="413">
        <v>9050</v>
      </c>
      <c r="L30" s="414"/>
      <c r="M30" s="415"/>
      <c r="N30" s="137"/>
      <c r="O30" s="340"/>
      <c r="Q30" s="138"/>
      <c r="R30" s="137"/>
      <c r="S30" s="137"/>
      <c r="T30" s="137" t="s">
        <v>108</v>
      </c>
      <c r="U30" s="137"/>
      <c r="V30" s="137"/>
      <c r="W30" s="137"/>
      <c r="X30" s="137"/>
      <c r="Y30" s="413">
        <f>K30</f>
        <v>9050</v>
      </c>
      <c r="Z30" s="414"/>
      <c r="AA30" s="415"/>
      <c r="AB30" s="137"/>
    </row>
    <row r="31" spans="2:28" s="136" customFormat="1" ht="6.75" customHeight="1">
      <c r="B31" s="138"/>
      <c r="C31" s="137"/>
      <c r="D31" s="137"/>
      <c r="E31" s="137"/>
      <c r="F31" s="137"/>
      <c r="G31" s="137"/>
      <c r="H31" s="137"/>
      <c r="I31" s="137"/>
      <c r="J31" s="137"/>
      <c r="K31" s="165"/>
      <c r="L31" s="165"/>
      <c r="M31" s="165"/>
      <c r="N31" s="137"/>
      <c r="O31" s="340"/>
      <c r="Q31" s="138"/>
      <c r="R31" s="137"/>
      <c r="S31" s="137"/>
      <c r="T31" s="137"/>
      <c r="U31" s="137"/>
      <c r="V31" s="137"/>
      <c r="W31" s="137"/>
      <c r="X31" s="137"/>
      <c r="Y31" s="165"/>
      <c r="Z31" s="165"/>
      <c r="AA31" s="355"/>
      <c r="AB31" s="137"/>
    </row>
    <row r="32" spans="2:28" s="136" customFormat="1" ht="15.75" customHeight="1">
      <c r="B32" s="138"/>
      <c r="C32" s="137"/>
      <c r="D32" s="137"/>
      <c r="E32" s="137"/>
      <c r="F32" s="137" t="s">
        <v>111</v>
      </c>
      <c r="G32" s="137"/>
      <c r="H32" s="137"/>
      <c r="I32" s="137"/>
      <c r="J32" s="137"/>
      <c r="K32" s="416">
        <f>K30+K28</f>
        <v>12344</v>
      </c>
      <c r="L32" s="417"/>
      <c r="M32" s="418"/>
      <c r="N32" s="137"/>
      <c r="O32" s="340"/>
      <c r="Q32" s="138"/>
      <c r="R32" s="137"/>
      <c r="S32" s="137"/>
      <c r="T32" s="137" t="s">
        <v>111</v>
      </c>
      <c r="U32" s="137"/>
      <c r="V32" s="137"/>
      <c r="W32" s="137"/>
      <c r="X32" s="137"/>
      <c r="Y32" s="419">
        <f>K32</f>
        <v>12344</v>
      </c>
      <c r="Z32" s="420"/>
      <c r="AA32" s="421"/>
      <c r="AB32" s="137"/>
    </row>
    <row r="33" spans="2:28" s="136" customFormat="1" ht="11.25">
      <c r="B33" s="138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3"/>
      <c r="O33" s="340"/>
      <c r="Q33" s="356"/>
      <c r="R33" s="142"/>
      <c r="S33" s="142"/>
      <c r="T33" s="142"/>
      <c r="U33" s="142"/>
      <c r="V33" s="142"/>
      <c r="W33" s="142"/>
      <c r="X33" s="142"/>
      <c r="Y33" s="142"/>
      <c r="Z33" s="142"/>
      <c r="AA33" s="357"/>
      <c r="AB33" s="13"/>
    </row>
    <row r="34" spans="2:27" s="136" customFormat="1" ht="11.25">
      <c r="B34" s="138"/>
      <c r="C34" s="137" t="s">
        <v>112</v>
      </c>
      <c r="D34" s="137"/>
      <c r="E34" s="137"/>
      <c r="F34" s="137"/>
      <c r="G34" s="137"/>
      <c r="H34" s="137"/>
      <c r="I34" s="137"/>
      <c r="J34" s="137"/>
      <c r="K34" s="137"/>
      <c r="L34" s="137"/>
      <c r="M34" s="341" t="s">
        <v>114</v>
      </c>
      <c r="N34" s="137"/>
      <c r="O34" s="340"/>
      <c r="Q34" s="138" t="s">
        <v>112</v>
      </c>
      <c r="R34" s="137"/>
      <c r="S34" s="137"/>
      <c r="T34" s="137"/>
      <c r="U34" s="137"/>
      <c r="V34" s="137"/>
      <c r="W34" s="137"/>
      <c r="X34" s="137"/>
      <c r="Y34" s="137"/>
      <c r="Z34" s="137"/>
      <c r="AA34" s="353" t="s">
        <v>114</v>
      </c>
    </row>
    <row r="35" spans="2:27" s="136" customFormat="1" ht="11.25">
      <c r="B35" s="138"/>
      <c r="C35" s="137"/>
      <c r="D35" s="137"/>
      <c r="E35" s="137"/>
      <c r="F35" s="137"/>
      <c r="G35" s="137"/>
      <c r="H35" s="345" t="s">
        <v>113</v>
      </c>
      <c r="I35" s="137"/>
      <c r="J35" s="137"/>
      <c r="K35" s="137"/>
      <c r="L35" s="137"/>
      <c r="M35" s="137"/>
      <c r="N35" s="137"/>
      <c r="O35" s="340"/>
      <c r="Q35" s="138"/>
      <c r="R35" s="137"/>
      <c r="S35" s="137"/>
      <c r="T35" s="137"/>
      <c r="U35" s="137"/>
      <c r="V35" s="345" t="s">
        <v>113</v>
      </c>
      <c r="W35" s="137"/>
      <c r="X35" s="137"/>
      <c r="Y35" s="137"/>
      <c r="Z35" s="137"/>
      <c r="AA35" s="340"/>
    </row>
    <row r="36" spans="2:27" s="136" customFormat="1" ht="17.25" customHeight="1">
      <c r="B36" s="138"/>
      <c r="C36" s="411" t="s">
        <v>302</v>
      </c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137"/>
      <c r="O36" s="340"/>
      <c r="Q36" s="410" t="str">
        <f>C36</f>
        <v>Received Payment by Cash / Cheque / Draft No. 529544 Dated:  04/08/2007  for Rupees. Twelve thousand three hundred forty four only)</v>
      </c>
      <c r="R36" s="411"/>
      <c r="S36" s="411"/>
      <c r="T36" s="411"/>
      <c r="U36" s="411"/>
      <c r="V36" s="411"/>
      <c r="W36" s="411"/>
      <c r="X36" s="411"/>
      <c r="Y36" s="411"/>
      <c r="Z36" s="411"/>
      <c r="AA36" s="412"/>
    </row>
    <row r="37" spans="2:28" s="136" customFormat="1" ht="11.25">
      <c r="B37" s="138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137"/>
      <c r="O37" s="340"/>
      <c r="Q37" s="410"/>
      <c r="R37" s="411"/>
      <c r="S37" s="411"/>
      <c r="T37" s="411"/>
      <c r="U37" s="411"/>
      <c r="V37" s="411"/>
      <c r="W37" s="411"/>
      <c r="X37" s="411"/>
      <c r="Y37" s="411"/>
      <c r="Z37" s="411"/>
      <c r="AA37" s="412"/>
      <c r="AB37" s="137"/>
    </row>
    <row r="38" spans="2:27" s="136" customFormat="1" ht="5.25" customHeight="1">
      <c r="B38" s="138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340"/>
      <c r="Q38" s="138"/>
      <c r="R38" s="137"/>
      <c r="S38" s="137"/>
      <c r="T38" s="137"/>
      <c r="U38" s="137"/>
      <c r="V38" s="137"/>
      <c r="W38" s="137"/>
      <c r="X38" s="137"/>
      <c r="Y38" s="137"/>
      <c r="Z38" s="137"/>
      <c r="AA38" s="340"/>
    </row>
    <row r="39" spans="2:27" s="136" customFormat="1" ht="11.25">
      <c r="B39" s="138"/>
      <c r="C39" s="137" t="s">
        <v>115</v>
      </c>
      <c r="D39" s="333"/>
      <c r="E39" s="167"/>
      <c r="F39" s="167"/>
      <c r="G39" s="167"/>
      <c r="H39" s="167"/>
      <c r="I39" s="167"/>
      <c r="J39" s="137"/>
      <c r="K39" s="137"/>
      <c r="L39" s="137"/>
      <c r="M39" s="341" t="s">
        <v>116</v>
      </c>
      <c r="N39" s="137"/>
      <c r="O39" s="340"/>
      <c r="Q39" s="138" t="s">
        <v>115</v>
      </c>
      <c r="R39" s="333"/>
      <c r="S39" s="167"/>
      <c r="T39" s="167"/>
      <c r="U39" s="167"/>
      <c r="V39" s="167"/>
      <c r="W39" s="167"/>
      <c r="X39" s="137"/>
      <c r="Y39" s="137"/>
      <c r="Z39" s="137"/>
      <c r="AA39" s="353" t="s">
        <v>116</v>
      </c>
    </row>
    <row r="40" spans="2:27" s="136" customFormat="1" ht="11.25">
      <c r="B40" s="138"/>
      <c r="C40" s="137" t="s">
        <v>117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340"/>
      <c r="Q40" s="138" t="s">
        <v>117</v>
      </c>
      <c r="R40" s="137"/>
      <c r="S40" s="137"/>
      <c r="T40" s="137"/>
      <c r="U40" s="137"/>
      <c r="V40" s="137"/>
      <c r="W40" s="137"/>
      <c r="X40" s="137"/>
      <c r="Y40" s="137"/>
      <c r="Z40" s="137"/>
      <c r="AA40" s="340"/>
    </row>
    <row r="41" spans="2:27" s="136" customFormat="1" ht="29.25" customHeight="1">
      <c r="B41" s="138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340"/>
      <c r="Q41" s="138"/>
      <c r="R41" s="137"/>
      <c r="S41" s="137"/>
      <c r="T41" s="137"/>
      <c r="U41" s="137"/>
      <c r="V41" s="137"/>
      <c r="W41" s="137"/>
      <c r="X41" s="137"/>
      <c r="Y41" s="137"/>
      <c r="Z41" s="137"/>
      <c r="AA41" s="340"/>
    </row>
    <row r="42" spans="2:27" s="136" customFormat="1" ht="11.25">
      <c r="B42" s="138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3" t="s">
        <v>119</v>
      </c>
      <c r="N42" s="137"/>
      <c r="O42" s="340"/>
      <c r="Q42" s="138"/>
      <c r="R42" s="137"/>
      <c r="S42" s="137"/>
      <c r="T42" s="137"/>
      <c r="U42" s="137"/>
      <c r="V42" s="137"/>
      <c r="W42" s="137"/>
      <c r="X42" s="137"/>
      <c r="Y42" s="137"/>
      <c r="Z42" s="137"/>
      <c r="AA42" s="358" t="s">
        <v>119</v>
      </c>
    </row>
    <row r="43" spans="2:27" s="136" customFormat="1" ht="11.25">
      <c r="B43" s="139"/>
      <c r="C43" s="140" t="s">
        <v>118</v>
      </c>
      <c r="D43" s="140"/>
      <c r="E43" s="140"/>
      <c r="F43" s="140"/>
      <c r="G43" s="140"/>
      <c r="H43" s="140"/>
      <c r="I43" s="140"/>
      <c r="J43" s="140"/>
      <c r="K43" s="140"/>
      <c r="L43" s="140"/>
      <c r="M43" s="329" t="s">
        <v>120</v>
      </c>
      <c r="N43" s="140"/>
      <c r="O43" s="346"/>
      <c r="Q43" s="139" t="s">
        <v>118</v>
      </c>
      <c r="R43" s="140"/>
      <c r="S43" s="140"/>
      <c r="T43" s="140"/>
      <c r="U43" s="140"/>
      <c r="V43" s="140"/>
      <c r="W43" s="140"/>
      <c r="X43" s="140"/>
      <c r="Y43" s="140"/>
      <c r="Z43" s="140"/>
      <c r="AA43" s="359" t="s">
        <v>120</v>
      </c>
    </row>
    <row r="44" s="136" customFormat="1" ht="3" customHeight="1">
      <c r="O44" s="166"/>
    </row>
    <row r="45" s="136" customFormat="1" ht="11.25"/>
    <row r="46" s="136" customFormat="1" ht="11.25"/>
    <row r="47" s="136" customFormat="1" ht="11.25"/>
    <row r="48" s="136" customFormat="1" ht="11.25"/>
    <row r="49" s="136" customFormat="1" ht="11.25"/>
    <row r="50" s="136" customFormat="1" ht="11.25"/>
    <row r="51" s="136" customFormat="1" ht="11.25"/>
    <row r="52" s="136" customFormat="1" ht="11.25"/>
    <row r="53" s="136" customFormat="1" ht="11.25"/>
    <row r="54" s="136" customFormat="1" ht="11.25"/>
    <row r="55" s="136" customFormat="1" ht="11.25"/>
    <row r="56" s="136" customFormat="1" ht="11.25"/>
    <row r="57" s="136" customFormat="1" ht="11.25"/>
    <row r="58" s="136" customFormat="1" ht="11.25"/>
    <row r="59" s="136" customFormat="1" ht="11.25"/>
    <row r="60" s="136" customFormat="1" ht="11.25"/>
    <row r="61" s="136" customFormat="1" ht="11.25"/>
    <row r="62" s="136" customFormat="1" ht="11.25"/>
    <row r="63" s="136" customFormat="1" ht="11.25"/>
    <row r="64" s="136" customFormat="1" ht="11.25"/>
    <row r="65" s="136" customFormat="1" ht="11.25"/>
    <row r="66" s="136" customFormat="1" ht="11.25"/>
    <row r="67" s="136" customFormat="1" ht="11.25"/>
    <row r="68" s="136" customFormat="1" ht="11.25"/>
    <row r="69" s="136" customFormat="1" ht="11.25"/>
    <row r="70" s="136" customFormat="1" ht="11.25"/>
    <row r="71" s="136" customFormat="1" ht="11.25"/>
    <row r="72" s="136" customFormat="1" ht="11.25"/>
    <row r="73" s="136" customFormat="1" ht="11.25"/>
    <row r="74" s="136" customFormat="1" ht="11.25"/>
    <row r="75" s="136" customFormat="1" ht="11.25"/>
    <row r="76" s="136" customFormat="1" ht="11.25"/>
    <row r="77" s="136" customFormat="1" ht="11.25"/>
    <row r="78" s="136" customFormat="1" ht="11.25"/>
    <row r="79" s="136" customFormat="1" ht="11.25"/>
    <row r="80" s="136" customFormat="1" ht="11.25"/>
    <row r="81" s="136" customFormat="1" ht="11.25"/>
    <row r="82" s="136" customFormat="1" ht="11.25"/>
    <row r="83" s="136" customFormat="1" ht="11.25"/>
    <row r="84" s="136" customFormat="1" ht="11.25"/>
    <row r="85" s="136" customFormat="1" ht="11.25"/>
    <row r="86" s="136" customFormat="1" ht="11.25"/>
    <row r="87" s="136" customFormat="1" ht="11.25"/>
    <row r="88" s="136" customFormat="1" ht="11.25"/>
    <row r="89" s="136" customFormat="1" ht="11.25"/>
    <row r="90" s="136" customFormat="1" ht="11.25"/>
    <row r="91" s="136" customFormat="1" ht="11.25"/>
    <row r="92" s="136" customFormat="1" ht="11.25"/>
    <row r="93" s="136" customFormat="1" ht="11.25"/>
    <row r="94" s="136" customFormat="1" ht="11.25"/>
    <row r="95" s="136" customFormat="1" ht="11.25"/>
    <row r="96" s="136" customFormat="1" ht="11.25"/>
    <row r="97" s="136" customFormat="1" ht="11.25"/>
    <row r="98" s="136" customFormat="1" ht="11.25"/>
    <row r="99" s="136" customFormat="1" ht="11.25"/>
    <row r="100" s="136" customFormat="1" ht="11.25"/>
    <row r="101" s="136" customFormat="1" ht="11.25"/>
    <row r="102" s="136" customFormat="1" ht="11.25"/>
    <row r="103" s="136" customFormat="1" ht="11.25"/>
    <row r="104" s="136" customFormat="1" ht="11.25"/>
    <row r="105" s="136" customFormat="1" ht="11.25"/>
    <row r="106" s="136" customFormat="1" ht="11.25"/>
    <row r="107" s="136" customFormat="1" ht="11.25"/>
    <row r="108" s="136" customFormat="1" ht="11.25"/>
    <row r="109" s="136" customFormat="1" ht="11.25"/>
    <row r="110" s="136" customFormat="1" ht="11.25"/>
    <row r="111" s="136" customFormat="1" ht="11.25"/>
    <row r="112" s="136" customFormat="1" ht="11.25"/>
    <row r="113" s="136" customFormat="1" ht="11.25"/>
    <row r="114" s="136" customFormat="1" ht="11.25"/>
    <row r="115" s="136" customFormat="1" ht="11.25"/>
    <row r="116" s="136" customFormat="1" ht="11.25"/>
    <row r="117" s="136" customFormat="1" ht="11.25"/>
    <row r="118" s="136" customFormat="1" ht="11.25"/>
    <row r="119" s="136" customFormat="1" ht="11.25"/>
    <row r="120" s="136" customFormat="1" ht="11.25"/>
    <row r="121" s="136" customFormat="1" ht="11.25"/>
    <row r="122" s="136" customFormat="1" ht="11.25"/>
    <row r="123" s="136" customFormat="1" ht="11.25"/>
    <row r="124" s="136" customFormat="1" ht="11.25"/>
    <row r="125" s="136" customFormat="1" ht="11.25"/>
    <row r="126" s="136" customFormat="1" ht="11.25"/>
    <row r="127" s="136" customFormat="1" ht="11.25"/>
    <row r="128" s="136" customFormat="1" ht="11.25"/>
    <row r="129" s="136" customFormat="1" ht="11.25"/>
    <row r="130" s="136" customFormat="1" ht="11.25"/>
    <row r="131" s="136" customFormat="1" ht="11.25"/>
    <row r="132" s="136" customFormat="1" ht="11.25"/>
    <row r="133" s="136" customFormat="1" ht="11.25"/>
    <row r="134" s="136" customFormat="1" ht="11.25"/>
    <row r="135" s="136" customFormat="1" ht="11.25"/>
    <row r="136" s="136" customFormat="1" ht="11.25"/>
    <row r="137" s="136" customFormat="1" ht="11.25"/>
    <row r="138" s="136" customFormat="1" ht="11.25"/>
    <row r="139" s="136" customFormat="1" ht="11.25"/>
    <row r="140" s="136" customFormat="1" ht="11.25"/>
    <row r="141" s="136" customFormat="1" ht="11.25"/>
    <row r="142" s="136" customFormat="1" ht="11.25"/>
    <row r="143" s="136" customFormat="1" ht="11.25"/>
    <row r="144" s="136" customFormat="1" ht="11.25"/>
    <row r="145" s="136" customFormat="1" ht="11.25"/>
    <row r="146" s="136" customFormat="1" ht="11.25"/>
    <row r="147" s="136" customFormat="1" ht="11.25"/>
    <row r="148" s="136" customFormat="1" ht="11.25"/>
    <row r="149" s="136" customFormat="1" ht="11.25"/>
    <row r="150" s="136" customFormat="1" ht="11.25"/>
    <row r="151" s="136" customFormat="1" ht="11.25"/>
    <row r="152" s="136" customFormat="1" ht="11.25"/>
    <row r="153" s="136" customFormat="1" ht="11.25"/>
    <row r="154" s="136" customFormat="1" ht="11.25"/>
    <row r="155" s="136" customFormat="1" ht="11.25"/>
    <row r="156" s="136" customFormat="1" ht="11.25"/>
    <row r="157" s="136" customFormat="1" ht="11.25"/>
    <row r="158" s="136" customFormat="1" ht="11.25"/>
    <row r="159" s="136" customFormat="1" ht="11.25"/>
    <row r="160" s="136" customFormat="1" ht="11.25"/>
    <row r="161" s="136" customFormat="1" ht="11.25"/>
    <row r="162" s="136" customFormat="1" ht="11.25"/>
    <row r="163" s="136" customFormat="1" ht="11.25"/>
    <row r="164" s="136" customFormat="1" ht="11.25"/>
    <row r="165" s="136" customFormat="1" ht="11.25"/>
    <row r="166" s="136" customFormat="1" ht="11.25"/>
    <row r="167" s="136" customFormat="1" ht="11.25"/>
    <row r="168" s="136" customFormat="1" ht="11.25"/>
    <row r="169" s="136" customFormat="1" ht="11.25"/>
    <row r="170" s="136" customFormat="1" ht="11.25"/>
    <row r="171" s="136" customFormat="1" ht="11.25"/>
    <row r="172" s="136" customFormat="1" ht="11.25"/>
    <row r="173" s="136" customFormat="1" ht="11.25"/>
    <row r="174" s="136" customFormat="1" ht="11.25"/>
    <row r="175" s="136" customFormat="1" ht="11.25"/>
    <row r="176" s="136" customFormat="1" ht="11.25"/>
    <row r="177" s="136" customFormat="1" ht="11.25"/>
    <row r="178" s="136" customFormat="1" ht="11.25"/>
    <row r="179" s="136" customFormat="1" ht="11.25"/>
    <row r="180" s="136" customFormat="1" ht="11.25"/>
    <row r="181" s="136" customFormat="1" ht="11.25"/>
    <row r="182" s="136" customFormat="1" ht="11.25"/>
    <row r="183" s="136" customFormat="1" ht="11.25"/>
    <row r="184" s="136" customFormat="1" ht="11.25"/>
    <row r="185" s="136" customFormat="1" ht="11.25"/>
    <row r="186" s="136" customFormat="1" ht="11.25"/>
    <row r="187" s="136" customFormat="1" ht="11.25"/>
    <row r="188" s="136" customFormat="1" ht="11.25"/>
    <row r="189" s="136" customFormat="1" ht="11.25"/>
    <row r="190" s="136" customFormat="1" ht="11.25"/>
    <row r="191" s="136" customFormat="1" ht="11.25"/>
    <row r="192" s="136" customFormat="1" ht="11.25"/>
    <row r="193" s="136" customFormat="1" ht="11.25"/>
    <row r="194" s="136" customFormat="1" ht="11.25"/>
    <row r="195" s="136" customFormat="1" ht="11.25"/>
    <row r="196" s="136" customFormat="1" ht="11.25"/>
    <row r="197" s="136" customFormat="1" ht="11.25"/>
    <row r="198" s="136" customFormat="1" ht="11.25"/>
    <row r="199" s="136" customFormat="1" ht="11.25"/>
    <row r="200" s="136" customFormat="1" ht="11.25"/>
    <row r="201" s="136" customFormat="1" ht="11.25"/>
    <row r="202" s="136" customFormat="1" ht="11.25"/>
    <row r="203" s="136" customFormat="1" ht="11.25"/>
    <row r="204" s="136" customFormat="1" ht="11.25"/>
    <row r="205" s="136" customFormat="1" ht="11.25"/>
    <row r="206" s="136" customFormat="1" ht="11.25"/>
    <row r="207" s="136" customFormat="1" ht="11.25"/>
    <row r="208" s="136" customFormat="1" ht="11.25"/>
    <row r="209" s="136" customFormat="1" ht="11.25"/>
    <row r="210" s="136" customFormat="1" ht="11.25"/>
    <row r="211" s="136" customFormat="1" ht="11.25"/>
    <row r="212" s="136" customFormat="1" ht="11.25"/>
    <row r="213" s="136" customFormat="1" ht="11.25"/>
    <row r="214" s="136" customFormat="1" ht="11.25"/>
    <row r="215" s="136" customFormat="1" ht="11.25"/>
    <row r="216" s="136" customFormat="1" ht="11.25"/>
    <row r="217" s="136" customFormat="1" ht="11.25"/>
    <row r="218" s="136" customFormat="1" ht="11.25"/>
    <row r="219" s="136" customFormat="1" ht="11.25"/>
    <row r="220" s="136" customFormat="1" ht="11.25"/>
    <row r="221" s="136" customFormat="1" ht="11.25"/>
    <row r="222" s="136" customFormat="1" ht="11.25"/>
    <row r="223" s="136" customFormat="1" ht="11.25"/>
    <row r="224" s="136" customFormat="1" ht="11.25"/>
    <row r="225" s="136" customFormat="1" ht="11.25"/>
    <row r="226" s="136" customFormat="1" ht="11.25"/>
    <row r="227" s="136" customFormat="1" ht="11.25"/>
    <row r="228" s="136" customFormat="1" ht="11.25"/>
    <row r="229" s="136" customFormat="1" ht="11.25"/>
    <row r="230" s="136" customFormat="1" ht="11.25"/>
    <row r="231" s="136" customFormat="1" ht="11.25"/>
    <row r="232" s="136" customFormat="1" ht="11.25"/>
    <row r="233" s="136" customFormat="1" ht="11.25"/>
    <row r="234" s="136" customFormat="1" ht="11.25"/>
    <row r="235" s="136" customFormat="1" ht="11.25"/>
    <row r="236" s="136" customFormat="1" ht="11.25"/>
    <row r="237" s="136" customFormat="1" ht="11.25"/>
    <row r="238" s="136" customFormat="1" ht="11.25"/>
    <row r="239" s="136" customFormat="1" ht="11.25"/>
    <row r="240" s="136" customFormat="1" ht="11.25"/>
    <row r="241" s="136" customFormat="1" ht="11.25"/>
    <row r="242" s="136" customFormat="1" ht="11.25"/>
    <row r="243" s="136" customFormat="1" ht="11.25"/>
    <row r="244" s="136" customFormat="1" ht="11.25"/>
    <row r="245" s="136" customFormat="1" ht="11.25"/>
    <row r="246" s="136" customFormat="1" ht="11.25"/>
    <row r="247" s="136" customFormat="1" ht="11.25"/>
    <row r="248" s="136" customFormat="1" ht="11.25"/>
    <row r="249" s="136" customFormat="1" ht="11.25"/>
    <row r="250" s="136" customFormat="1" ht="11.25"/>
    <row r="251" s="136" customFormat="1" ht="11.25"/>
    <row r="252" s="136" customFormat="1" ht="11.25"/>
    <row r="253" s="136" customFormat="1" ht="11.25"/>
    <row r="254" s="136" customFormat="1" ht="11.25"/>
    <row r="255" s="136" customFormat="1" ht="11.25"/>
    <row r="256" s="136" customFormat="1" ht="11.25"/>
    <row r="257" s="136" customFormat="1" ht="11.25"/>
    <row r="258" s="136" customFormat="1" ht="11.25"/>
    <row r="259" s="136" customFormat="1" ht="11.25"/>
    <row r="260" s="136" customFormat="1" ht="11.25"/>
    <row r="261" s="136" customFormat="1" ht="11.25"/>
    <row r="262" s="136" customFormat="1" ht="11.25"/>
    <row r="263" s="136" customFormat="1" ht="11.25"/>
    <row r="264" s="136" customFormat="1" ht="11.25"/>
    <row r="265" s="136" customFormat="1" ht="11.25"/>
    <row r="266" s="136" customFormat="1" ht="11.25"/>
    <row r="267" s="136" customFormat="1" ht="11.25"/>
    <row r="268" s="136" customFormat="1" ht="11.25"/>
    <row r="269" s="136" customFormat="1" ht="11.25"/>
    <row r="270" s="136" customFormat="1" ht="11.25"/>
    <row r="271" s="136" customFormat="1" ht="11.25"/>
    <row r="272" s="136" customFormat="1" ht="11.25"/>
    <row r="273" s="136" customFormat="1" ht="11.25"/>
    <row r="274" s="136" customFormat="1" ht="11.25"/>
    <row r="275" s="136" customFormat="1" ht="11.25"/>
    <row r="276" s="136" customFormat="1" ht="11.25"/>
    <row r="277" s="136" customFormat="1" ht="11.25"/>
    <row r="278" s="136" customFormat="1" ht="11.25"/>
    <row r="279" s="136" customFormat="1" ht="11.25"/>
    <row r="280" s="136" customFormat="1" ht="11.25"/>
    <row r="281" s="136" customFormat="1" ht="11.25"/>
    <row r="282" s="136" customFormat="1" ht="11.25"/>
    <row r="283" s="136" customFormat="1" ht="11.25"/>
    <row r="284" s="136" customFormat="1" ht="11.25"/>
    <row r="285" s="136" customFormat="1" ht="11.25"/>
    <row r="286" s="136" customFormat="1" ht="11.25"/>
    <row r="287" s="136" customFormat="1" ht="11.25"/>
    <row r="288" s="136" customFormat="1" ht="11.25"/>
    <row r="289" s="136" customFormat="1" ht="11.25"/>
    <row r="290" s="136" customFormat="1" ht="11.25"/>
    <row r="291" s="136" customFormat="1" ht="11.25"/>
    <row r="292" s="136" customFormat="1" ht="11.25"/>
    <row r="293" s="136" customFormat="1" ht="11.25"/>
    <row r="294" s="136" customFormat="1" ht="11.25"/>
    <row r="295" s="136" customFormat="1" ht="11.25"/>
    <row r="296" s="136" customFormat="1" ht="11.25"/>
    <row r="297" s="136" customFormat="1" ht="11.25"/>
    <row r="298" s="136" customFormat="1" ht="11.25"/>
    <row r="299" s="136" customFormat="1" ht="11.25"/>
    <row r="300" s="136" customFormat="1" ht="11.25"/>
    <row r="301" s="136" customFormat="1" ht="11.25"/>
    <row r="302" s="136" customFormat="1" ht="11.25"/>
    <row r="303" s="136" customFormat="1" ht="11.25"/>
    <row r="304" s="136" customFormat="1" ht="11.25"/>
    <row r="305" s="136" customFormat="1" ht="11.25"/>
    <row r="306" s="136" customFormat="1" ht="11.25"/>
    <row r="307" s="136" customFormat="1" ht="11.25"/>
    <row r="308" s="136" customFormat="1" ht="11.25"/>
    <row r="309" s="136" customFormat="1" ht="11.25"/>
    <row r="310" s="136" customFormat="1" ht="11.25"/>
    <row r="311" s="136" customFormat="1" ht="11.25"/>
    <row r="312" s="136" customFormat="1" ht="11.25"/>
    <row r="313" s="136" customFormat="1" ht="11.25"/>
    <row r="314" s="136" customFormat="1" ht="11.25"/>
    <row r="315" s="136" customFormat="1" ht="11.25"/>
    <row r="316" s="136" customFormat="1" ht="11.25"/>
    <row r="317" s="136" customFormat="1" ht="11.25"/>
    <row r="318" s="136" customFormat="1" ht="11.25"/>
    <row r="319" s="136" customFormat="1" ht="11.25"/>
    <row r="320" s="136" customFormat="1" ht="11.25"/>
    <row r="321" s="136" customFormat="1" ht="11.25"/>
    <row r="322" s="136" customFormat="1" ht="11.25"/>
    <row r="323" s="136" customFormat="1" ht="11.25"/>
    <row r="324" s="136" customFormat="1" ht="11.25"/>
    <row r="325" s="136" customFormat="1" ht="11.25"/>
    <row r="326" s="136" customFormat="1" ht="11.25"/>
    <row r="327" s="136" customFormat="1" ht="11.25"/>
    <row r="328" s="136" customFormat="1" ht="11.25"/>
    <row r="329" s="136" customFormat="1" ht="11.25"/>
    <row r="330" s="136" customFormat="1" ht="11.25"/>
    <row r="331" s="136" customFormat="1" ht="11.25"/>
    <row r="332" s="136" customFormat="1" ht="11.25"/>
    <row r="333" s="136" customFormat="1" ht="11.25"/>
    <row r="334" s="136" customFormat="1" ht="11.25"/>
    <row r="335" s="136" customFormat="1" ht="11.25"/>
    <row r="336" s="136" customFormat="1" ht="11.25"/>
    <row r="337" s="136" customFormat="1" ht="11.25"/>
    <row r="338" s="136" customFormat="1" ht="11.25"/>
    <row r="339" s="136" customFormat="1" ht="11.25"/>
    <row r="340" s="136" customFormat="1" ht="11.25"/>
    <row r="341" s="136" customFormat="1" ht="11.25"/>
    <row r="342" s="136" customFormat="1" ht="11.25"/>
    <row r="343" s="136" customFormat="1" ht="11.25"/>
    <row r="344" s="136" customFormat="1" ht="11.25"/>
    <row r="345" s="136" customFormat="1" ht="11.25"/>
    <row r="346" s="136" customFormat="1" ht="11.25"/>
    <row r="347" s="136" customFormat="1" ht="11.25"/>
    <row r="348" s="136" customFormat="1" ht="11.25"/>
    <row r="349" s="136" customFormat="1" ht="11.25"/>
    <row r="350" s="136" customFormat="1" ht="11.25"/>
    <row r="351" s="136" customFormat="1" ht="11.25"/>
    <row r="352" s="136" customFormat="1" ht="11.25"/>
    <row r="353" s="136" customFormat="1" ht="11.25"/>
    <row r="354" s="136" customFormat="1" ht="11.25"/>
    <row r="355" s="136" customFormat="1" ht="11.25"/>
    <row r="356" s="136" customFormat="1" ht="11.25"/>
    <row r="357" s="136" customFormat="1" ht="11.25"/>
    <row r="358" s="136" customFormat="1" ht="11.25"/>
    <row r="359" s="136" customFormat="1" ht="11.25"/>
    <row r="360" s="136" customFormat="1" ht="11.25"/>
    <row r="361" s="136" customFormat="1" ht="11.25"/>
    <row r="362" s="136" customFormat="1" ht="11.25"/>
    <row r="363" s="136" customFormat="1" ht="11.25"/>
    <row r="364" s="136" customFormat="1" ht="11.25"/>
    <row r="365" s="136" customFormat="1" ht="11.25"/>
    <row r="366" s="136" customFormat="1" ht="11.25"/>
    <row r="367" s="136" customFormat="1" ht="11.25"/>
    <row r="368" s="136" customFormat="1" ht="11.25"/>
    <row r="369" s="136" customFormat="1" ht="11.25"/>
    <row r="370" s="136" customFormat="1" ht="11.25"/>
    <row r="371" s="136" customFormat="1" ht="11.25"/>
    <row r="372" s="136" customFormat="1" ht="11.25"/>
    <row r="373" s="136" customFormat="1" ht="11.25"/>
    <row r="374" s="136" customFormat="1" ht="11.25"/>
    <row r="375" s="136" customFormat="1" ht="11.25"/>
    <row r="376" s="136" customFormat="1" ht="11.25"/>
    <row r="377" s="136" customFormat="1" ht="11.25"/>
    <row r="378" s="136" customFormat="1" ht="11.25"/>
    <row r="379" s="136" customFormat="1" ht="11.25"/>
    <row r="380" s="136" customFormat="1" ht="11.25"/>
    <row r="381" s="136" customFormat="1" ht="11.25"/>
    <row r="382" s="136" customFormat="1" ht="11.25"/>
    <row r="383" s="136" customFormat="1" ht="11.25"/>
    <row r="384" s="136" customFormat="1" ht="11.25"/>
    <row r="385" s="136" customFormat="1" ht="11.25"/>
    <row r="386" s="136" customFormat="1" ht="11.25"/>
    <row r="387" s="136" customFormat="1" ht="11.25"/>
    <row r="388" s="136" customFormat="1" ht="11.25"/>
    <row r="389" s="136" customFormat="1" ht="11.25"/>
    <row r="390" s="136" customFormat="1" ht="11.25"/>
    <row r="391" s="136" customFormat="1" ht="11.25"/>
    <row r="392" s="136" customFormat="1" ht="11.25"/>
    <row r="393" s="136" customFormat="1" ht="11.25"/>
    <row r="394" s="136" customFormat="1" ht="11.25"/>
    <row r="395" s="136" customFormat="1" ht="11.25"/>
    <row r="396" s="136" customFormat="1" ht="11.25"/>
    <row r="397" s="136" customFormat="1" ht="11.25"/>
    <row r="398" s="136" customFormat="1" ht="11.25"/>
    <row r="399" s="136" customFormat="1" ht="11.25"/>
    <row r="400" s="136" customFormat="1" ht="11.25"/>
    <row r="401" s="136" customFormat="1" ht="11.25"/>
    <row r="402" s="136" customFormat="1" ht="11.25"/>
    <row r="403" s="136" customFormat="1" ht="11.25"/>
    <row r="404" s="136" customFormat="1" ht="11.25"/>
    <row r="405" s="136" customFormat="1" ht="11.25"/>
    <row r="406" s="136" customFormat="1" ht="11.25"/>
    <row r="407" s="136" customFormat="1" ht="11.25"/>
    <row r="408" s="136" customFormat="1" ht="11.25"/>
    <row r="409" s="136" customFormat="1" ht="11.25"/>
    <row r="410" s="136" customFormat="1" ht="11.25"/>
    <row r="411" s="136" customFormat="1" ht="11.25"/>
    <row r="412" s="136" customFormat="1" ht="11.25"/>
    <row r="413" s="136" customFormat="1" ht="11.25"/>
    <row r="414" s="136" customFormat="1" ht="11.25"/>
    <row r="415" s="136" customFormat="1" ht="11.25"/>
    <row r="416" s="136" customFormat="1" ht="11.25"/>
    <row r="417" s="136" customFormat="1" ht="11.25"/>
    <row r="418" s="136" customFormat="1" ht="11.25"/>
    <row r="419" s="136" customFormat="1" ht="11.25"/>
    <row r="420" s="136" customFormat="1" ht="11.25"/>
    <row r="421" s="136" customFormat="1" ht="11.25"/>
    <row r="422" s="136" customFormat="1" ht="11.25"/>
    <row r="423" s="136" customFormat="1" ht="11.25"/>
    <row r="424" s="136" customFormat="1" ht="11.25"/>
    <row r="425" s="136" customFormat="1" ht="11.25"/>
    <row r="426" s="136" customFormat="1" ht="11.25"/>
    <row r="427" s="136" customFormat="1" ht="11.25"/>
    <row r="428" s="136" customFormat="1" ht="11.25"/>
    <row r="429" s="136" customFormat="1" ht="11.25"/>
    <row r="430" s="136" customFormat="1" ht="11.25"/>
    <row r="431" s="136" customFormat="1" ht="11.25"/>
    <row r="432" s="136" customFormat="1" ht="11.25"/>
    <row r="433" s="136" customFormat="1" ht="11.25"/>
    <row r="434" s="136" customFormat="1" ht="11.25"/>
    <row r="435" s="136" customFormat="1" ht="11.25"/>
    <row r="436" s="136" customFormat="1" ht="11.25"/>
    <row r="437" s="136" customFormat="1" ht="11.25"/>
    <row r="438" s="136" customFormat="1" ht="11.25"/>
    <row r="439" s="136" customFormat="1" ht="11.25"/>
    <row r="440" s="136" customFormat="1" ht="11.25"/>
    <row r="441" s="136" customFormat="1" ht="11.25"/>
    <row r="442" s="136" customFormat="1" ht="11.25"/>
    <row r="443" s="136" customFormat="1" ht="11.25"/>
    <row r="444" s="136" customFormat="1" ht="11.25"/>
    <row r="445" s="136" customFormat="1" ht="11.25"/>
    <row r="446" s="136" customFormat="1" ht="11.25"/>
    <row r="447" s="136" customFormat="1" ht="11.25"/>
    <row r="448" s="136" customFormat="1" ht="11.25"/>
    <row r="449" s="136" customFormat="1" ht="11.25"/>
    <row r="450" s="136" customFormat="1" ht="11.25"/>
    <row r="451" s="136" customFormat="1" ht="11.25"/>
    <row r="452" s="136" customFormat="1" ht="11.25"/>
    <row r="453" s="136" customFormat="1" ht="11.25"/>
    <row r="454" s="136" customFormat="1" ht="11.25"/>
    <row r="455" s="136" customFormat="1" ht="11.25"/>
    <row r="456" s="136" customFormat="1" ht="11.25"/>
    <row r="457" s="136" customFormat="1" ht="11.25"/>
    <row r="458" s="136" customFormat="1" ht="11.25"/>
    <row r="459" s="136" customFormat="1" ht="11.25"/>
    <row r="460" s="136" customFormat="1" ht="11.25"/>
    <row r="461" s="136" customFormat="1" ht="11.25"/>
    <row r="462" s="136" customFormat="1" ht="11.25"/>
    <row r="463" s="136" customFormat="1" ht="11.25"/>
    <row r="464" s="136" customFormat="1" ht="11.25"/>
    <row r="465" s="136" customFormat="1" ht="11.25"/>
    <row r="466" s="136" customFormat="1" ht="11.25"/>
    <row r="467" s="136" customFormat="1" ht="11.25"/>
    <row r="468" s="136" customFormat="1" ht="11.25"/>
    <row r="469" s="136" customFormat="1" ht="11.25"/>
    <row r="470" s="136" customFormat="1" ht="11.25"/>
    <row r="471" s="136" customFormat="1" ht="11.25"/>
    <row r="472" s="136" customFormat="1" ht="11.25"/>
    <row r="473" s="136" customFormat="1" ht="11.25"/>
    <row r="474" s="136" customFormat="1" ht="11.25"/>
    <row r="475" s="136" customFormat="1" ht="11.25"/>
    <row r="476" s="136" customFormat="1" ht="11.25"/>
    <row r="477" s="136" customFormat="1" ht="11.25"/>
    <row r="478" s="136" customFormat="1" ht="11.25"/>
    <row r="479" s="136" customFormat="1" ht="11.25"/>
    <row r="480" s="136" customFormat="1" ht="11.25"/>
    <row r="481" s="136" customFormat="1" ht="11.25"/>
    <row r="482" s="136" customFormat="1" ht="11.25"/>
    <row r="483" s="136" customFormat="1" ht="11.25"/>
    <row r="484" s="136" customFormat="1" ht="11.25"/>
    <row r="485" s="136" customFormat="1" ht="11.25"/>
    <row r="486" s="136" customFormat="1" ht="11.25"/>
    <row r="487" s="136" customFormat="1" ht="11.25"/>
    <row r="488" s="136" customFormat="1" ht="11.25"/>
    <row r="489" s="136" customFormat="1" ht="11.25"/>
    <row r="490" s="136" customFormat="1" ht="11.25"/>
    <row r="491" s="136" customFormat="1" ht="11.25"/>
    <row r="492" s="136" customFormat="1" ht="11.25"/>
    <row r="493" s="136" customFormat="1" ht="11.25"/>
    <row r="494" s="136" customFormat="1" ht="11.25"/>
    <row r="495" s="136" customFormat="1" ht="11.25"/>
    <row r="496" s="136" customFormat="1" ht="11.25"/>
    <row r="497" s="136" customFormat="1" ht="11.25"/>
    <row r="498" s="136" customFormat="1" ht="11.25"/>
    <row r="499" s="136" customFormat="1" ht="11.25"/>
    <row r="500" s="136" customFormat="1" ht="11.25"/>
    <row r="501" s="136" customFormat="1" ht="11.25"/>
    <row r="502" s="136" customFormat="1" ht="11.25"/>
    <row r="503" s="136" customFormat="1" ht="11.25"/>
    <row r="504" s="136" customFormat="1" ht="11.25"/>
    <row r="505" s="136" customFormat="1" ht="11.25"/>
    <row r="506" s="136" customFormat="1" ht="11.25"/>
    <row r="507" s="136" customFormat="1" ht="11.25"/>
    <row r="508" s="136" customFormat="1" ht="11.25"/>
    <row r="509" s="136" customFormat="1" ht="11.25"/>
    <row r="510" s="136" customFormat="1" ht="11.25"/>
    <row r="511" s="136" customFormat="1" ht="11.25"/>
    <row r="512" s="136" customFormat="1" ht="11.25"/>
    <row r="513" s="136" customFormat="1" ht="11.25"/>
    <row r="514" s="136" customFormat="1" ht="11.25"/>
    <row r="515" s="136" customFormat="1" ht="11.25"/>
    <row r="516" s="136" customFormat="1" ht="11.25"/>
    <row r="517" s="136" customFormat="1" ht="11.25"/>
    <row r="518" s="136" customFormat="1" ht="11.25"/>
    <row r="519" s="136" customFormat="1" ht="11.25"/>
    <row r="520" s="136" customFormat="1" ht="11.25"/>
    <row r="521" s="136" customFormat="1" ht="11.25"/>
    <row r="522" s="136" customFormat="1" ht="11.25"/>
    <row r="523" s="136" customFormat="1" ht="11.25"/>
    <row r="524" s="136" customFormat="1" ht="11.25"/>
    <row r="525" s="136" customFormat="1" ht="11.25"/>
    <row r="526" s="136" customFormat="1" ht="11.25"/>
    <row r="527" s="136" customFormat="1" ht="11.25"/>
    <row r="528" s="136" customFormat="1" ht="11.25"/>
    <row r="529" s="136" customFormat="1" ht="11.25"/>
    <row r="530" s="136" customFormat="1" ht="11.25"/>
    <row r="531" s="136" customFormat="1" ht="11.25"/>
    <row r="532" s="136" customFormat="1" ht="11.25"/>
    <row r="533" s="136" customFormat="1" ht="11.25"/>
    <row r="534" s="136" customFormat="1" ht="11.25"/>
    <row r="535" s="136" customFormat="1" ht="11.25"/>
    <row r="536" s="136" customFormat="1" ht="11.25"/>
    <row r="537" s="136" customFormat="1" ht="11.25"/>
    <row r="538" s="136" customFormat="1" ht="11.25"/>
    <row r="539" s="136" customFormat="1" ht="11.25"/>
    <row r="540" s="136" customFormat="1" ht="11.25"/>
    <row r="541" s="136" customFormat="1" ht="11.25"/>
    <row r="542" s="136" customFormat="1" ht="11.25"/>
    <row r="543" s="136" customFormat="1" ht="11.25"/>
    <row r="544" s="136" customFormat="1" ht="11.25"/>
    <row r="545" s="136" customFormat="1" ht="11.25"/>
    <row r="546" s="136" customFormat="1" ht="11.25"/>
    <row r="547" s="136" customFormat="1" ht="11.25"/>
    <row r="548" s="136" customFormat="1" ht="11.25"/>
    <row r="549" s="136" customFormat="1" ht="11.25"/>
    <row r="550" s="136" customFormat="1" ht="11.25"/>
    <row r="551" s="136" customFormat="1" ht="11.25"/>
    <row r="552" s="136" customFormat="1" ht="11.25"/>
    <row r="553" s="136" customFormat="1" ht="11.25"/>
    <row r="554" s="136" customFormat="1" ht="11.25"/>
    <row r="555" s="136" customFormat="1" ht="11.25"/>
    <row r="556" s="136" customFormat="1" ht="11.25"/>
    <row r="557" s="136" customFormat="1" ht="11.25"/>
    <row r="558" s="136" customFormat="1" ht="11.25"/>
    <row r="559" s="136" customFormat="1" ht="11.25"/>
    <row r="560" s="136" customFormat="1" ht="11.25"/>
    <row r="561" s="136" customFormat="1" ht="11.25"/>
    <row r="562" s="136" customFormat="1" ht="11.25"/>
    <row r="563" s="136" customFormat="1" ht="11.25"/>
    <row r="564" s="136" customFormat="1" ht="11.25"/>
    <row r="565" s="136" customFormat="1" ht="11.25"/>
    <row r="566" s="136" customFormat="1" ht="11.25"/>
    <row r="567" s="136" customFormat="1" ht="11.25"/>
    <row r="568" s="136" customFormat="1" ht="11.25"/>
    <row r="569" s="136" customFormat="1" ht="11.25"/>
    <row r="570" s="136" customFormat="1" ht="11.25"/>
    <row r="571" s="136" customFormat="1" ht="11.25"/>
    <row r="572" s="136" customFormat="1" ht="11.25"/>
    <row r="573" s="136" customFormat="1" ht="11.25"/>
    <row r="574" s="136" customFormat="1" ht="11.25"/>
    <row r="575" s="136" customFormat="1" ht="11.25"/>
    <row r="576" s="136" customFormat="1" ht="11.25"/>
    <row r="577" s="136" customFormat="1" ht="11.25"/>
    <row r="578" s="136" customFormat="1" ht="11.25"/>
    <row r="579" s="136" customFormat="1" ht="11.25"/>
    <row r="580" s="136" customFormat="1" ht="11.25"/>
    <row r="581" s="136" customFormat="1" ht="11.25"/>
    <row r="582" s="136" customFormat="1" ht="11.25"/>
    <row r="583" s="136" customFormat="1" ht="11.25"/>
    <row r="584" s="136" customFormat="1" ht="11.25"/>
    <row r="585" s="136" customFormat="1" ht="11.25"/>
    <row r="586" s="136" customFormat="1" ht="11.25"/>
    <row r="587" s="136" customFormat="1" ht="11.25"/>
    <row r="588" s="136" customFormat="1" ht="11.25"/>
    <row r="589" s="136" customFormat="1" ht="11.25"/>
    <row r="590" s="136" customFormat="1" ht="11.25"/>
    <row r="591" s="136" customFormat="1" ht="11.25"/>
    <row r="592" s="136" customFormat="1" ht="11.25"/>
    <row r="593" s="136" customFormat="1" ht="11.25"/>
    <row r="594" s="136" customFormat="1" ht="11.25"/>
    <row r="595" s="136" customFormat="1" ht="11.25"/>
    <row r="596" s="136" customFormat="1" ht="11.25"/>
    <row r="597" s="136" customFormat="1" ht="11.25"/>
    <row r="598" s="136" customFormat="1" ht="11.25"/>
    <row r="599" s="136" customFormat="1" ht="11.25"/>
    <row r="600" s="136" customFormat="1" ht="11.25"/>
    <row r="601" s="136" customFormat="1" ht="11.25"/>
    <row r="602" s="136" customFormat="1" ht="11.25"/>
    <row r="603" s="136" customFormat="1" ht="11.25"/>
    <row r="604" s="136" customFormat="1" ht="11.25"/>
    <row r="605" s="136" customFormat="1" ht="11.25"/>
    <row r="606" s="136" customFormat="1" ht="11.25"/>
    <row r="607" s="136" customFormat="1" ht="11.25"/>
    <row r="608" s="136" customFormat="1" ht="11.25"/>
    <row r="609" s="136" customFormat="1" ht="11.25"/>
    <row r="610" s="136" customFormat="1" ht="11.25"/>
    <row r="611" s="136" customFormat="1" ht="11.25"/>
    <row r="612" s="136" customFormat="1" ht="11.25"/>
    <row r="613" s="136" customFormat="1" ht="11.25"/>
    <row r="614" s="136" customFormat="1" ht="11.25"/>
    <row r="615" s="136" customFormat="1" ht="11.25"/>
    <row r="616" s="136" customFormat="1" ht="11.25"/>
    <row r="617" s="136" customFormat="1" ht="11.25"/>
    <row r="618" s="136" customFormat="1" ht="11.25"/>
    <row r="619" s="136" customFormat="1" ht="11.25"/>
    <row r="620" s="136" customFormat="1" ht="11.25"/>
    <row r="621" s="136" customFormat="1" ht="11.25"/>
    <row r="622" s="136" customFormat="1" ht="11.25"/>
    <row r="623" s="136" customFormat="1" ht="11.25"/>
    <row r="624" s="136" customFormat="1" ht="11.25"/>
    <row r="625" s="136" customFormat="1" ht="11.25"/>
    <row r="626" s="136" customFormat="1" ht="11.25"/>
    <row r="627" s="136" customFormat="1" ht="11.25"/>
    <row r="628" s="136" customFormat="1" ht="11.25"/>
    <row r="629" s="136" customFormat="1" ht="11.25"/>
    <row r="630" s="136" customFormat="1" ht="11.25"/>
    <row r="631" s="136" customFormat="1" ht="11.25"/>
    <row r="632" s="136" customFormat="1" ht="11.25"/>
    <row r="633" s="136" customFormat="1" ht="11.25"/>
    <row r="634" s="136" customFormat="1" ht="11.25"/>
    <row r="635" s="136" customFormat="1" ht="11.25"/>
    <row r="636" s="136" customFormat="1" ht="11.25"/>
    <row r="637" s="136" customFormat="1" ht="11.25"/>
    <row r="638" s="136" customFormat="1" ht="11.25"/>
    <row r="639" s="136" customFormat="1" ht="11.25"/>
    <row r="640" s="136" customFormat="1" ht="11.25"/>
    <row r="641" s="136" customFormat="1" ht="11.25"/>
    <row r="642" s="136" customFormat="1" ht="11.25"/>
    <row r="643" s="136" customFormat="1" ht="11.25"/>
    <row r="644" s="136" customFormat="1" ht="11.25"/>
    <row r="645" s="136" customFormat="1" ht="11.25"/>
    <row r="646" s="136" customFormat="1" ht="11.25"/>
    <row r="647" s="136" customFormat="1" ht="11.25"/>
    <row r="648" s="136" customFormat="1" ht="11.25"/>
    <row r="649" s="136" customFormat="1" ht="11.25"/>
    <row r="650" s="136" customFormat="1" ht="11.25"/>
    <row r="651" s="136" customFormat="1" ht="11.25"/>
    <row r="652" s="136" customFormat="1" ht="11.25"/>
    <row r="653" s="136" customFormat="1" ht="11.25"/>
    <row r="654" s="136" customFormat="1" ht="11.25"/>
    <row r="655" s="136" customFormat="1" ht="11.25"/>
    <row r="656" s="136" customFormat="1" ht="11.25"/>
    <row r="657" s="136" customFormat="1" ht="11.25"/>
    <row r="658" s="136" customFormat="1" ht="11.25"/>
    <row r="659" s="136" customFormat="1" ht="11.25"/>
    <row r="660" s="136" customFormat="1" ht="11.25"/>
    <row r="661" s="136" customFormat="1" ht="11.25"/>
    <row r="662" s="136" customFormat="1" ht="11.25"/>
    <row r="663" s="136" customFormat="1" ht="11.25"/>
    <row r="664" s="136" customFormat="1" ht="11.25"/>
    <row r="665" s="136" customFormat="1" ht="11.25"/>
    <row r="666" s="136" customFormat="1" ht="11.25"/>
    <row r="667" s="136" customFormat="1" ht="11.25"/>
    <row r="668" s="136" customFormat="1" ht="11.25"/>
    <row r="669" s="136" customFormat="1" ht="11.25"/>
    <row r="670" s="136" customFormat="1" ht="11.25"/>
    <row r="671" s="136" customFormat="1" ht="11.25"/>
    <row r="672" s="136" customFormat="1" ht="11.25"/>
    <row r="673" s="136" customFormat="1" ht="11.25"/>
    <row r="674" s="136" customFormat="1" ht="11.25"/>
    <row r="675" s="136" customFormat="1" ht="11.25"/>
    <row r="676" s="136" customFormat="1" ht="11.25"/>
    <row r="677" s="136" customFormat="1" ht="11.25"/>
    <row r="678" s="136" customFormat="1" ht="11.25"/>
    <row r="679" s="136" customFormat="1" ht="11.25"/>
    <row r="680" s="136" customFormat="1" ht="11.25"/>
    <row r="681" s="136" customFormat="1" ht="11.25"/>
    <row r="682" s="136" customFormat="1" ht="11.25"/>
    <row r="683" s="136" customFormat="1" ht="11.25"/>
    <row r="684" s="136" customFormat="1" ht="11.25"/>
    <row r="685" s="136" customFormat="1" ht="11.25"/>
    <row r="686" s="136" customFormat="1" ht="11.25"/>
    <row r="687" s="136" customFormat="1" ht="11.25"/>
    <row r="688" s="136" customFormat="1" ht="11.25"/>
    <row r="689" s="136" customFormat="1" ht="11.25"/>
    <row r="690" s="136" customFormat="1" ht="11.25"/>
    <row r="691" s="136" customFormat="1" ht="11.25"/>
    <row r="692" s="136" customFormat="1" ht="11.25"/>
    <row r="693" s="136" customFormat="1" ht="11.25"/>
    <row r="694" s="136" customFormat="1" ht="11.25"/>
    <row r="695" s="136" customFormat="1" ht="11.25"/>
    <row r="696" s="136" customFormat="1" ht="11.25"/>
    <row r="697" s="136" customFormat="1" ht="11.25"/>
    <row r="698" s="136" customFormat="1" ht="11.25"/>
    <row r="699" s="136" customFormat="1" ht="11.25"/>
    <row r="700" s="136" customFormat="1" ht="11.25"/>
    <row r="701" s="136" customFormat="1" ht="11.25"/>
    <row r="702" s="136" customFormat="1" ht="11.25"/>
    <row r="703" s="136" customFormat="1" ht="11.25"/>
    <row r="704" s="136" customFormat="1" ht="11.25"/>
    <row r="705" s="136" customFormat="1" ht="11.25"/>
    <row r="706" s="136" customFormat="1" ht="11.25"/>
    <row r="707" s="136" customFormat="1" ht="11.25"/>
    <row r="708" s="136" customFormat="1" ht="11.25"/>
    <row r="709" s="136" customFormat="1" ht="11.25"/>
    <row r="710" s="136" customFormat="1" ht="11.25"/>
    <row r="711" s="136" customFormat="1" ht="11.25"/>
    <row r="712" s="136" customFormat="1" ht="11.25"/>
    <row r="713" s="136" customFormat="1" ht="11.25"/>
    <row r="714" s="136" customFormat="1" ht="11.25"/>
    <row r="715" s="136" customFormat="1" ht="11.25"/>
    <row r="716" s="136" customFormat="1" ht="11.25"/>
    <row r="717" s="136" customFormat="1" ht="11.25"/>
    <row r="718" s="136" customFormat="1" ht="11.25"/>
    <row r="719" s="136" customFormat="1" ht="11.25"/>
    <row r="720" s="136" customFormat="1" ht="11.25"/>
    <row r="721" s="136" customFormat="1" ht="11.25"/>
    <row r="722" s="136" customFormat="1" ht="11.25"/>
    <row r="723" s="136" customFormat="1" ht="11.25"/>
    <row r="724" s="136" customFormat="1" ht="11.25"/>
    <row r="725" s="136" customFormat="1" ht="11.25"/>
    <row r="726" s="136" customFormat="1" ht="11.25"/>
    <row r="727" s="136" customFormat="1" ht="11.25"/>
    <row r="728" s="136" customFormat="1" ht="11.25"/>
    <row r="729" s="136" customFormat="1" ht="11.25"/>
    <row r="730" s="136" customFormat="1" ht="11.25"/>
    <row r="731" s="136" customFormat="1" ht="11.25"/>
    <row r="732" s="136" customFormat="1" ht="11.25"/>
    <row r="733" s="136" customFormat="1" ht="11.25"/>
    <row r="734" s="136" customFormat="1" ht="11.25"/>
    <row r="735" s="136" customFormat="1" ht="11.25"/>
    <row r="736" s="136" customFormat="1" ht="11.25"/>
    <row r="737" s="136" customFormat="1" ht="11.25"/>
    <row r="738" s="136" customFormat="1" ht="11.25"/>
    <row r="739" s="136" customFormat="1" ht="11.25"/>
    <row r="740" s="136" customFormat="1" ht="11.25"/>
    <row r="741" s="136" customFormat="1" ht="11.25"/>
    <row r="742" s="136" customFormat="1" ht="11.25"/>
    <row r="743" s="136" customFormat="1" ht="11.25"/>
    <row r="744" s="136" customFormat="1" ht="11.25"/>
    <row r="745" s="136" customFormat="1" ht="11.25"/>
    <row r="746" s="136" customFormat="1" ht="11.25"/>
    <row r="747" s="136" customFormat="1" ht="11.25"/>
    <row r="748" s="136" customFormat="1" ht="11.25"/>
    <row r="749" s="136" customFormat="1" ht="11.25"/>
    <row r="750" s="136" customFormat="1" ht="11.25"/>
    <row r="751" s="136" customFormat="1" ht="11.25"/>
    <row r="752" s="136" customFormat="1" ht="11.25"/>
    <row r="753" s="136" customFormat="1" ht="11.25"/>
    <row r="754" s="136" customFormat="1" ht="11.25"/>
    <row r="755" s="136" customFormat="1" ht="11.25"/>
    <row r="756" s="136" customFormat="1" ht="11.25"/>
    <row r="757" s="136" customFormat="1" ht="11.25"/>
    <row r="758" s="136" customFormat="1" ht="11.25"/>
    <row r="759" s="136" customFormat="1" ht="11.25"/>
    <row r="760" s="136" customFormat="1" ht="11.25"/>
    <row r="761" s="136" customFormat="1" ht="11.25"/>
    <row r="762" s="136" customFormat="1" ht="11.25"/>
    <row r="763" s="136" customFormat="1" ht="11.25"/>
    <row r="764" s="136" customFormat="1" ht="11.25"/>
    <row r="765" s="136" customFormat="1" ht="11.25"/>
    <row r="766" s="136" customFormat="1" ht="11.25"/>
    <row r="767" s="136" customFormat="1" ht="11.25"/>
    <row r="768" s="136" customFormat="1" ht="11.25"/>
    <row r="769" s="136" customFormat="1" ht="11.25"/>
    <row r="770" s="136" customFormat="1" ht="11.25"/>
    <row r="771" s="136" customFormat="1" ht="11.25"/>
    <row r="772" s="136" customFormat="1" ht="11.25"/>
    <row r="773" s="136" customFormat="1" ht="11.25"/>
    <row r="774" s="136" customFormat="1" ht="11.25"/>
    <row r="775" s="136" customFormat="1" ht="11.25"/>
    <row r="776" s="136" customFormat="1" ht="11.25"/>
    <row r="777" s="136" customFormat="1" ht="11.25"/>
    <row r="778" s="136" customFormat="1" ht="11.25"/>
    <row r="779" s="136" customFormat="1" ht="11.25"/>
    <row r="780" s="136" customFormat="1" ht="11.25"/>
    <row r="781" s="136" customFormat="1" ht="11.25"/>
    <row r="782" s="136" customFormat="1" ht="11.25"/>
    <row r="783" s="136" customFormat="1" ht="11.25"/>
    <row r="784" s="136" customFormat="1" ht="11.25"/>
    <row r="785" s="136" customFormat="1" ht="11.25"/>
    <row r="786" s="136" customFormat="1" ht="11.25"/>
    <row r="787" s="136" customFormat="1" ht="11.25"/>
    <row r="788" s="136" customFormat="1" ht="11.25"/>
    <row r="789" s="136" customFormat="1" ht="11.25"/>
    <row r="790" s="136" customFormat="1" ht="11.25"/>
    <row r="791" s="136" customFormat="1" ht="11.25"/>
    <row r="792" s="136" customFormat="1" ht="11.25"/>
    <row r="793" s="136" customFormat="1" ht="11.25"/>
    <row r="794" s="136" customFormat="1" ht="11.25"/>
    <row r="795" s="136" customFormat="1" ht="11.25"/>
    <row r="796" s="136" customFormat="1" ht="11.25"/>
    <row r="797" s="136" customFormat="1" ht="11.25"/>
    <row r="798" s="136" customFormat="1" ht="11.25"/>
    <row r="799" s="136" customFormat="1" ht="11.25"/>
    <row r="800" s="136" customFormat="1" ht="11.25"/>
    <row r="801" s="136" customFormat="1" ht="11.25"/>
    <row r="802" s="136" customFormat="1" ht="11.25"/>
    <row r="803" s="136" customFormat="1" ht="11.25"/>
    <row r="804" s="136" customFormat="1" ht="11.25"/>
    <row r="805" s="136" customFormat="1" ht="11.25"/>
    <row r="806" s="136" customFormat="1" ht="11.25"/>
    <row r="807" s="136" customFormat="1" ht="11.25"/>
    <row r="808" s="136" customFormat="1" ht="11.25"/>
    <row r="809" s="136" customFormat="1" ht="11.25"/>
    <row r="810" s="136" customFormat="1" ht="11.25"/>
    <row r="811" s="136" customFormat="1" ht="11.25"/>
    <row r="812" s="136" customFormat="1" ht="11.25"/>
    <row r="813" s="136" customFormat="1" ht="11.25"/>
    <row r="814" s="136" customFormat="1" ht="11.25"/>
    <row r="815" s="136" customFormat="1" ht="11.25"/>
    <row r="816" s="136" customFormat="1" ht="11.25"/>
    <row r="817" s="136" customFormat="1" ht="11.25"/>
    <row r="818" s="136" customFormat="1" ht="11.25"/>
    <row r="819" s="136" customFormat="1" ht="11.25"/>
    <row r="820" s="136" customFormat="1" ht="11.25"/>
    <row r="821" s="136" customFormat="1" ht="11.25"/>
    <row r="822" s="136" customFormat="1" ht="11.25"/>
    <row r="823" s="136" customFormat="1" ht="11.25"/>
    <row r="824" s="136" customFormat="1" ht="11.25"/>
    <row r="825" s="136" customFormat="1" ht="11.25"/>
    <row r="826" s="136" customFormat="1" ht="11.25"/>
    <row r="827" s="136" customFormat="1" ht="11.25"/>
    <row r="828" s="136" customFormat="1" ht="11.25"/>
    <row r="829" s="136" customFormat="1" ht="11.25"/>
    <row r="830" s="136" customFormat="1" ht="11.25"/>
    <row r="831" s="136" customFormat="1" ht="11.25"/>
    <row r="832" s="136" customFormat="1" ht="11.25"/>
    <row r="833" s="136" customFormat="1" ht="11.25"/>
    <row r="834" s="136" customFormat="1" ht="11.25"/>
    <row r="835" s="136" customFormat="1" ht="11.25"/>
    <row r="836" s="136" customFormat="1" ht="11.25"/>
    <row r="837" s="136" customFormat="1" ht="11.25"/>
    <row r="838" s="136" customFormat="1" ht="11.25"/>
    <row r="839" s="136" customFormat="1" ht="11.25"/>
    <row r="840" s="136" customFormat="1" ht="11.25"/>
    <row r="841" s="136" customFormat="1" ht="11.25"/>
    <row r="842" s="136" customFormat="1" ht="11.25"/>
    <row r="843" s="136" customFormat="1" ht="11.25"/>
    <row r="844" s="136" customFormat="1" ht="11.25"/>
    <row r="845" s="136" customFormat="1" ht="11.25"/>
    <row r="846" s="136" customFormat="1" ht="11.25"/>
    <row r="847" s="136" customFormat="1" ht="11.25"/>
    <row r="848" s="136" customFormat="1" ht="11.25"/>
    <row r="849" s="136" customFormat="1" ht="11.25"/>
    <row r="850" s="136" customFormat="1" ht="11.25"/>
    <row r="851" s="136" customFormat="1" ht="11.25"/>
    <row r="852" s="136" customFormat="1" ht="11.25"/>
    <row r="853" s="136" customFormat="1" ht="11.25"/>
    <row r="854" s="136" customFormat="1" ht="11.25"/>
    <row r="855" s="136" customFormat="1" ht="11.25"/>
    <row r="856" s="136" customFormat="1" ht="11.25"/>
    <row r="857" s="136" customFormat="1" ht="11.25"/>
    <row r="858" s="136" customFormat="1" ht="11.25"/>
    <row r="859" s="136" customFormat="1" ht="11.25"/>
    <row r="860" s="136" customFormat="1" ht="11.25"/>
    <row r="861" s="136" customFormat="1" ht="11.25"/>
    <row r="862" s="136" customFormat="1" ht="11.25"/>
    <row r="863" s="136" customFormat="1" ht="11.25"/>
    <row r="864" s="136" customFormat="1" ht="11.25"/>
    <row r="865" s="136" customFormat="1" ht="11.25"/>
    <row r="866" s="136" customFormat="1" ht="11.25"/>
    <row r="867" s="136" customFormat="1" ht="11.25"/>
    <row r="868" s="136" customFormat="1" ht="11.25"/>
    <row r="869" s="136" customFormat="1" ht="11.25"/>
    <row r="870" s="136" customFormat="1" ht="11.25"/>
    <row r="871" s="136" customFormat="1" ht="11.25"/>
    <row r="872" s="136" customFormat="1" ht="11.25"/>
    <row r="873" s="136" customFormat="1" ht="11.25"/>
    <row r="874" s="136" customFormat="1" ht="11.25"/>
    <row r="875" s="136" customFormat="1" ht="11.25"/>
    <row r="876" s="136" customFormat="1" ht="11.25"/>
    <row r="877" s="136" customFormat="1" ht="11.25"/>
    <row r="878" s="136" customFormat="1" ht="11.25"/>
    <row r="879" s="136" customFormat="1" ht="11.25"/>
    <row r="880" s="136" customFormat="1" ht="11.25"/>
    <row r="881" s="136" customFormat="1" ht="11.25"/>
    <row r="882" s="136" customFormat="1" ht="11.25"/>
    <row r="883" s="136" customFormat="1" ht="11.25"/>
    <row r="884" s="136" customFormat="1" ht="11.25"/>
    <row r="885" s="136" customFormat="1" ht="11.25"/>
    <row r="886" s="136" customFormat="1" ht="11.25"/>
    <row r="887" s="136" customFormat="1" ht="11.25"/>
    <row r="888" s="136" customFormat="1" ht="11.25"/>
    <row r="889" s="136" customFormat="1" ht="11.25"/>
    <row r="890" s="136" customFormat="1" ht="11.25"/>
    <row r="891" s="136" customFormat="1" ht="11.25"/>
    <row r="892" s="136" customFormat="1" ht="11.25"/>
    <row r="893" s="136" customFormat="1" ht="11.25"/>
    <row r="894" s="136" customFormat="1" ht="11.25"/>
    <row r="895" s="136" customFormat="1" ht="11.25"/>
    <row r="896" s="136" customFormat="1" ht="11.25"/>
    <row r="897" s="136" customFormat="1" ht="11.25"/>
    <row r="898" s="136" customFormat="1" ht="11.25"/>
    <row r="899" s="136" customFormat="1" ht="11.25"/>
    <row r="900" s="136" customFormat="1" ht="11.25"/>
    <row r="901" s="136" customFormat="1" ht="11.25"/>
    <row r="902" s="136" customFormat="1" ht="11.25"/>
    <row r="903" s="136" customFormat="1" ht="11.25"/>
    <row r="904" s="136" customFormat="1" ht="11.25"/>
    <row r="905" s="136" customFormat="1" ht="11.25"/>
    <row r="906" s="136" customFormat="1" ht="11.25"/>
    <row r="907" s="136" customFormat="1" ht="11.25"/>
    <row r="908" s="136" customFormat="1" ht="11.25"/>
    <row r="909" s="136" customFormat="1" ht="11.25"/>
    <row r="910" s="136" customFormat="1" ht="11.25"/>
    <row r="911" s="136" customFormat="1" ht="11.25"/>
    <row r="912" s="136" customFormat="1" ht="11.25"/>
    <row r="913" s="136" customFormat="1" ht="11.25"/>
    <row r="914" s="136" customFormat="1" ht="11.25"/>
    <row r="915" s="136" customFormat="1" ht="11.25"/>
    <row r="916" s="136" customFormat="1" ht="11.25"/>
    <row r="917" s="136" customFormat="1" ht="11.25"/>
    <row r="918" s="136" customFormat="1" ht="11.25"/>
    <row r="919" s="136" customFormat="1" ht="11.25"/>
    <row r="920" s="136" customFormat="1" ht="11.25"/>
    <row r="921" s="136" customFormat="1" ht="11.25"/>
    <row r="922" s="136" customFormat="1" ht="11.25"/>
    <row r="923" s="136" customFormat="1" ht="11.25"/>
    <row r="924" s="136" customFormat="1" ht="11.25"/>
    <row r="925" s="136" customFormat="1" ht="11.25"/>
    <row r="926" s="136" customFormat="1" ht="11.25"/>
    <row r="927" s="136" customFormat="1" ht="11.25"/>
    <row r="928" s="136" customFormat="1" ht="11.25"/>
    <row r="929" s="136" customFormat="1" ht="11.25"/>
    <row r="930" s="136" customFormat="1" ht="11.25"/>
    <row r="931" s="136" customFormat="1" ht="11.25"/>
    <row r="932" s="136" customFormat="1" ht="11.25"/>
    <row r="933" s="136" customFormat="1" ht="11.25"/>
    <row r="934" s="136" customFormat="1" ht="11.25"/>
    <row r="935" s="136" customFormat="1" ht="11.25"/>
    <row r="936" s="136" customFormat="1" ht="11.25"/>
    <row r="937" s="136" customFormat="1" ht="11.25"/>
    <row r="938" s="136" customFormat="1" ht="11.25"/>
    <row r="939" s="136" customFormat="1" ht="11.25"/>
    <row r="940" s="136" customFormat="1" ht="11.25"/>
    <row r="941" s="136" customFormat="1" ht="11.25"/>
    <row r="942" s="136" customFormat="1" ht="11.25"/>
    <row r="943" s="136" customFormat="1" ht="11.25"/>
    <row r="944" s="136" customFormat="1" ht="11.25"/>
    <row r="945" s="136" customFormat="1" ht="11.25"/>
    <row r="946" s="136" customFormat="1" ht="11.25"/>
    <row r="947" s="136" customFormat="1" ht="11.25"/>
    <row r="948" s="136" customFormat="1" ht="11.25"/>
    <row r="949" s="136" customFormat="1" ht="11.25"/>
    <row r="950" s="136" customFormat="1" ht="11.25"/>
    <row r="951" s="136" customFormat="1" ht="11.25"/>
    <row r="952" s="136" customFormat="1" ht="11.25"/>
    <row r="953" s="136" customFormat="1" ht="11.25"/>
    <row r="954" s="136" customFormat="1" ht="11.25"/>
    <row r="955" s="136" customFormat="1" ht="11.25"/>
    <row r="956" s="136" customFormat="1" ht="11.25"/>
    <row r="957" s="136" customFormat="1" ht="11.25"/>
    <row r="958" s="136" customFormat="1" ht="11.25"/>
    <row r="959" s="136" customFormat="1" ht="11.25"/>
    <row r="960" s="136" customFormat="1" ht="11.25"/>
    <row r="961" s="136" customFormat="1" ht="11.25"/>
    <row r="962" s="136" customFormat="1" ht="11.25"/>
    <row r="963" s="136" customFormat="1" ht="11.25"/>
    <row r="964" s="136" customFormat="1" ht="11.25"/>
    <row r="965" s="136" customFormat="1" ht="11.25"/>
    <row r="966" s="136" customFormat="1" ht="11.25"/>
    <row r="967" s="136" customFormat="1" ht="11.25"/>
    <row r="968" s="136" customFormat="1" ht="11.25"/>
    <row r="969" s="136" customFormat="1" ht="11.25"/>
    <row r="970" s="136" customFormat="1" ht="11.25"/>
    <row r="971" s="136" customFormat="1" ht="11.25"/>
    <row r="972" s="136" customFormat="1" ht="11.25"/>
    <row r="973" s="136" customFormat="1" ht="11.25"/>
    <row r="974" s="136" customFormat="1" ht="11.25"/>
    <row r="975" s="136" customFormat="1" ht="11.25"/>
    <row r="976" s="136" customFormat="1" ht="11.25"/>
    <row r="977" s="136" customFormat="1" ht="11.25"/>
    <row r="978" s="136" customFormat="1" ht="11.25"/>
    <row r="979" s="136" customFormat="1" ht="11.25"/>
    <row r="980" s="136" customFormat="1" ht="11.25"/>
    <row r="981" s="136" customFormat="1" ht="11.25"/>
    <row r="982" s="136" customFormat="1" ht="11.25"/>
    <row r="983" s="136" customFormat="1" ht="11.25"/>
    <row r="984" s="136" customFormat="1" ht="11.25"/>
    <row r="985" s="136" customFormat="1" ht="11.25"/>
    <row r="986" s="136" customFormat="1" ht="11.25"/>
    <row r="987" s="136" customFormat="1" ht="11.25"/>
    <row r="988" s="136" customFormat="1" ht="11.25"/>
    <row r="989" s="136" customFormat="1" ht="11.25"/>
    <row r="990" s="136" customFormat="1" ht="11.25"/>
    <row r="991" s="136" customFormat="1" ht="11.25"/>
    <row r="992" s="136" customFormat="1" ht="11.25"/>
    <row r="993" s="136" customFormat="1" ht="11.25"/>
    <row r="994" s="136" customFormat="1" ht="11.25"/>
    <row r="995" s="136" customFormat="1" ht="11.25"/>
    <row r="996" s="136" customFormat="1" ht="11.25"/>
    <row r="997" s="136" customFormat="1" ht="11.25"/>
    <row r="998" s="136" customFormat="1" ht="11.25"/>
    <row r="999" s="136" customFormat="1" ht="11.25"/>
    <row r="1000" s="136" customFormat="1" ht="11.25"/>
    <row r="1001" s="136" customFormat="1" ht="11.25"/>
    <row r="1002" s="136" customFormat="1" ht="11.25"/>
    <row r="1003" s="136" customFormat="1" ht="11.25"/>
    <row r="1004" s="136" customFormat="1" ht="11.25"/>
    <row r="1005" s="136" customFormat="1" ht="11.25"/>
    <row r="1006" s="136" customFormat="1" ht="11.25"/>
    <row r="1007" s="136" customFormat="1" ht="11.25"/>
    <row r="1008" s="136" customFormat="1" ht="11.25"/>
    <row r="1009" s="136" customFormat="1" ht="11.25"/>
    <row r="1010" s="136" customFormat="1" ht="11.25"/>
    <row r="1011" s="136" customFormat="1" ht="11.25"/>
    <row r="1012" s="136" customFormat="1" ht="11.25"/>
    <row r="1013" s="136" customFormat="1" ht="11.25"/>
    <row r="1014" s="136" customFormat="1" ht="11.25"/>
    <row r="1015" s="136" customFormat="1" ht="11.25"/>
    <row r="1016" s="136" customFormat="1" ht="11.25"/>
    <row r="1017" s="136" customFormat="1" ht="11.25"/>
    <row r="1018" s="136" customFormat="1" ht="11.25"/>
    <row r="1019" s="136" customFormat="1" ht="11.25"/>
    <row r="1020" s="136" customFormat="1" ht="11.25"/>
    <row r="1021" s="136" customFormat="1" ht="11.25"/>
    <row r="1022" s="136" customFormat="1" ht="11.25"/>
    <row r="1023" s="136" customFormat="1" ht="11.25"/>
    <row r="1024" s="136" customFormat="1" ht="11.25"/>
    <row r="1025" s="136" customFormat="1" ht="11.25"/>
    <row r="1026" s="136" customFormat="1" ht="11.25"/>
    <row r="1027" s="136" customFormat="1" ht="11.25"/>
    <row r="1028" s="136" customFormat="1" ht="11.25"/>
    <row r="1029" s="136" customFormat="1" ht="11.25"/>
    <row r="1030" s="136" customFormat="1" ht="11.25"/>
    <row r="1031" s="136" customFormat="1" ht="11.25"/>
    <row r="1032" s="136" customFormat="1" ht="11.25"/>
    <row r="1033" s="136" customFormat="1" ht="11.25"/>
    <row r="1034" s="136" customFormat="1" ht="11.25"/>
    <row r="1035" s="136" customFormat="1" ht="11.25"/>
    <row r="1036" s="136" customFormat="1" ht="11.25"/>
    <row r="1037" s="136" customFormat="1" ht="11.25"/>
    <row r="1038" s="136" customFormat="1" ht="11.25"/>
    <row r="1039" s="136" customFormat="1" ht="11.25"/>
    <row r="1040" s="136" customFormat="1" ht="11.25"/>
    <row r="1041" s="136" customFormat="1" ht="11.25"/>
    <row r="1042" s="136" customFormat="1" ht="11.25"/>
    <row r="1043" s="136" customFormat="1" ht="11.25"/>
    <row r="1044" s="136" customFormat="1" ht="11.25"/>
    <row r="1045" s="136" customFormat="1" ht="11.25"/>
    <row r="1046" s="136" customFormat="1" ht="11.25"/>
    <row r="1047" s="136" customFormat="1" ht="11.25"/>
    <row r="1048" s="136" customFormat="1" ht="11.25"/>
    <row r="1049" s="136" customFormat="1" ht="11.25"/>
    <row r="1050" s="136" customFormat="1" ht="11.25"/>
    <row r="1051" s="136" customFormat="1" ht="11.25"/>
    <row r="1052" s="136" customFormat="1" ht="11.25"/>
    <row r="1053" s="136" customFormat="1" ht="11.25"/>
    <row r="1054" s="136" customFormat="1" ht="11.25"/>
    <row r="1055" s="136" customFormat="1" ht="11.25"/>
    <row r="1056" s="136" customFormat="1" ht="11.25"/>
    <row r="1057" s="136" customFormat="1" ht="11.25"/>
    <row r="1058" s="136" customFormat="1" ht="11.25"/>
    <row r="1059" s="136" customFormat="1" ht="11.25"/>
    <row r="1060" s="136" customFormat="1" ht="11.25"/>
    <row r="1061" s="136" customFormat="1" ht="11.25"/>
    <row r="1062" s="136" customFormat="1" ht="11.25"/>
    <row r="1063" s="136" customFormat="1" ht="11.25"/>
    <row r="1064" s="136" customFormat="1" ht="11.25"/>
    <row r="1065" s="136" customFormat="1" ht="11.25"/>
    <row r="1066" s="136" customFormat="1" ht="11.25"/>
    <row r="1067" s="136" customFormat="1" ht="11.25"/>
    <row r="1068" s="136" customFormat="1" ht="11.25"/>
    <row r="1069" s="136" customFormat="1" ht="11.25"/>
    <row r="1070" s="136" customFormat="1" ht="11.25"/>
    <row r="1071" s="136" customFormat="1" ht="11.25"/>
    <row r="1072" s="136" customFormat="1" ht="11.25"/>
    <row r="1073" s="136" customFormat="1" ht="11.25"/>
    <row r="1074" s="136" customFormat="1" ht="11.25"/>
    <row r="1075" s="136" customFormat="1" ht="11.25"/>
    <row r="1076" s="136" customFormat="1" ht="11.25"/>
    <row r="1077" s="136" customFormat="1" ht="11.25"/>
    <row r="1078" s="136" customFormat="1" ht="11.25"/>
    <row r="1079" s="136" customFormat="1" ht="11.25"/>
    <row r="1080" s="136" customFormat="1" ht="11.25"/>
    <row r="1081" s="136" customFormat="1" ht="11.25"/>
    <row r="1082" s="136" customFormat="1" ht="11.25"/>
    <row r="1083" s="136" customFormat="1" ht="11.25"/>
    <row r="1084" s="136" customFormat="1" ht="11.25"/>
    <row r="1085" s="136" customFormat="1" ht="11.25"/>
    <row r="1086" s="136" customFormat="1" ht="11.25"/>
    <row r="1087" s="136" customFormat="1" ht="11.25"/>
    <row r="1088" s="136" customFormat="1" ht="11.25"/>
    <row r="1089" s="136" customFormat="1" ht="11.25"/>
    <row r="1090" s="136" customFormat="1" ht="11.25"/>
    <row r="1091" s="136" customFormat="1" ht="11.25"/>
    <row r="1092" s="136" customFormat="1" ht="11.25"/>
    <row r="1093" s="136" customFormat="1" ht="11.25"/>
    <row r="1094" s="136" customFormat="1" ht="11.25"/>
    <row r="1095" s="136" customFormat="1" ht="11.25"/>
    <row r="1096" s="136" customFormat="1" ht="11.25"/>
    <row r="1097" s="136" customFormat="1" ht="11.25"/>
    <row r="1098" s="136" customFormat="1" ht="11.25"/>
    <row r="1099" s="136" customFormat="1" ht="11.25"/>
    <row r="1100" s="136" customFormat="1" ht="11.25"/>
    <row r="1101" s="136" customFormat="1" ht="11.25"/>
    <row r="1102" s="136" customFormat="1" ht="11.25"/>
    <row r="1103" s="136" customFormat="1" ht="11.25"/>
    <row r="1104" s="136" customFormat="1" ht="11.25"/>
    <row r="1105" s="136" customFormat="1" ht="11.25"/>
    <row r="1106" s="136" customFormat="1" ht="11.25"/>
    <row r="1107" s="136" customFormat="1" ht="11.25"/>
    <row r="1108" s="136" customFormat="1" ht="11.25"/>
    <row r="1109" s="136" customFormat="1" ht="11.25"/>
    <row r="1110" s="136" customFormat="1" ht="11.25"/>
    <row r="1111" s="136" customFormat="1" ht="11.25"/>
    <row r="1112" s="136" customFormat="1" ht="11.25"/>
    <row r="1113" s="136" customFormat="1" ht="11.25"/>
    <row r="1114" s="136" customFormat="1" ht="11.25"/>
    <row r="1115" s="136" customFormat="1" ht="11.25"/>
    <row r="1116" s="136" customFormat="1" ht="11.25"/>
    <row r="1117" s="136" customFormat="1" ht="11.25"/>
    <row r="1118" s="136" customFormat="1" ht="11.25"/>
    <row r="1119" s="136" customFormat="1" ht="11.25"/>
    <row r="1120" s="136" customFormat="1" ht="11.25"/>
    <row r="1121" s="136" customFormat="1" ht="11.25"/>
    <row r="1122" s="136" customFormat="1" ht="11.25"/>
    <row r="1123" s="136" customFormat="1" ht="11.25"/>
    <row r="1124" s="136" customFormat="1" ht="11.25"/>
    <row r="1125" s="136" customFormat="1" ht="11.25"/>
    <row r="1126" s="136" customFormat="1" ht="11.25"/>
    <row r="1127" s="136" customFormat="1" ht="11.25"/>
    <row r="1128" s="136" customFormat="1" ht="11.25"/>
    <row r="1129" s="136" customFormat="1" ht="11.25"/>
    <row r="1130" s="136" customFormat="1" ht="11.25"/>
    <row r="1131" s="136" customFormat="1" ht="11.25"/>
    <row r="1132" s="136" customFormat="1" ht="11.25"/>
    <row r="1133" s="136" customFormat="1" ht="11.25"/>
    <row r="1134" s="136" customFormat="1" ht="11.25"/>
    <row r="1135" s="136" customFormat="1" ht="11.25"/>
    <row r="1136" s="136" customFormat="1" ht="11.25"/>
    <row r="1137" s="136" customFormat="1" ht="11.25"/>
    <row r="1138" s="136" customFormat="1" ht="11.25"/>
    <row r="1139" s="136" customFormat="1" ht="11.25"/>
    <row r="1140" s="136" customFormat="1" ht="11.25"/>
    <row r="1141" s="136" customFormat="1" ht="11.25"/>
    <row r="1142" s="136" customFormat="1" ht="11.25"/>
    <row r="1143" s="136" customFormat="1" ht="11.25"/>
    <row r="1144" s="136" customFormat="1" ht="11.25"/>
    <row r="1145" s="136" customFormat="1" ht="11.25"/>
    <row r="1146" s="136" customFormat="1" ht="11.25"/>
    <row r="1147" s="136" customFormat="1" ht="11.25"/>
    <row r="1148" s="136" customFormat="1" ht="11.25"/>
    <row r="1149" s="136" customFormat="1" ht="11.25"/>
    <row r="1150" s="136" customFormat="1" ht="11.25"/>
    <row r="1151" s="136" customFormat="1" ht="11.25"/>
    <row r="1152" s="136" customFormat="1" ht="11.25"/>
    <row r="1153" s="136" customFormat="1" ht="11.25"/>
    <row r="1154" s="136" customFormat="1" ht="11.25"/>
    <row r="1155" s="136" customFormat="1" ht="11.25"/>
    <row r="1156" s="136" customFormat="1" ht="11.25"/>
    <row r="1157" s="136" customFormat="1" ht="11.25"/>
    <row r="1158" s="136" customFormat="1" ht="11.25"/>
    <row r="1159" s="136" customFormat="1" ht="11.25"/>
    <row r="1160" s="136" customFormat="1" ht="11.25"/>
    <row r="1161" s="136" customFormat="1" ht="11.25"/>
    <row r="1162" s="136" customFormat="1" ht="11.25"/>
    <row r="1163" s="136" customFormat="1" ht="11.25"/>
    <row r="1164" s="136" customFormat="1" ht="11.25"/>
    <row r="1165" s="136" customFormat="1" ht="11.25"/>
    <row r="1166" s="136" customFormat="1" ht="11.25"/>
    <row r="1167" s="136" customFormat="1" ht="11.25"/>
    <row r="1168" s="136" customFormat="1" ht="11.25"/>
    <row r="1169" s="136" customFormat="1" ht="11.25"/>
    <row r="1170" s="136" customFormat="1" ht="11.25"/>
    <row r="1171" s="136" customFormat="1" ht="11.25"/>
    <row r="1172" s="136" customFormat="1" ht="11.25"/>
    <row r="1173" s="136" customFormat="1" ht="11.25"/>
    <row r="1174" s="136" customFormat="1" ht="11.25"/>
    <row r="1175" s="136" customFormat="1" ht="11.25"/>
    <row r="1176" s="136" customFormat="1" ht="11.25"/>
    <row r="1177" s="136" customFormat="1" ht="11.25"/>
    <row r="1178" s="136" customFormat="1" ht="11.25"/>
    <row r="1179" s="136" customFormat="1" ht="11.25"/>
    <row r="1180" s="136" customFormat="1" ht="11.25"/>
    <row r="1181" s="136" customFormat="1" ht="11.25"/>
    <row r="1182" s="136" customFormat="1" ht="11.25"/>
    <row r="1183" s="136" customFormat="1" ht="11.25"/>
    <row r="1184" s="136" customFormat="1" ht="11.25"/>
    <row r="1185" s="136" customFormat="1" ht="11.25"/>
    <row r="1186" s="136" customFormat="1" ht="11.25"/>
    <row r="1187" s="136" customFormat="1" ht="11.25"/>
    <row r="1188" s="136" customFormat="1" ht="11.25"/>
    <row r="1189" s="136" customFormat="1" ht="11.25"/>
    <row r="1190" s="136" customFormat="1" ht="11.25"/>
    <row r="1191" s="136" customFormat="1" ht="11.25"/>
    <row r="1192" s="136" customFormat="1" ht="11.25"/>
    <row r="1193" s="136" customFormat="1" ht="11.25"/>
    <row r="1194" s="136" customFormat="1" ht="11.25"/>
    <row r="1195" s="136" customFormat="1" ht="11.25"/>
    <row r="1196" s="136" customFormat="1" ht="11.25"/>
    <row r="1197" s="136" customFormat="1" ht="11.25"/>
    <row r="1198" s="136" customFormat="1" ht="11.25"/>
    <row r="1199" s="136" customFormat="1" ht="11.25"/>
    <row r="1200" s="136" customFormat="1" ht="11.25"/>
    <row r="1201" s="136" customFormat="1" ht="11.25"/>
    <row r="1202" s="136" customFormat="1" ht="11.25"/>
    <row r="1203" s="136" customFormat="1" ht="11.25"/>
    <row r="1204" s="136" customFormat="1" ht="11.25"/>
    <row r="1205" s="136" customFormat="1" ht="11.25"/>
    <row r="1206" s="136" customFormat="1" ht="11.25"/>
    <row r="1207" s="136" customFormat="1" ht="11.25"/>
    <row r="1208" s="136" customFormat="1" ht="11.25"/>
    <row r="1209" s="136" customFormat="1" ht="11.25"/>
    <row r="1210" s="136" customFormat="1" ht="11.25"/>
    <row r="1211" s="136" customFormat="1" ht="11.25"/>
    <row r="1212" s="136" customFormat="1" ht="11.25"/>
    <row r="1213" s="136" customFormat="1" ht="11.25"/>
    <row r="1214" s="136" customFormat="1" ht="11.25"/>
    <row r="1215" s="136" customFormat="1" ht="11.25"/>
    <row r="1216" s="136" customFormat="1" ht="11.25"/>
    <row r="1217" s="136" customFormat="1" ht="11.25"/>
    <row r="1218" s="136" customFormat="1" ht="11.25"/>
    <row r="1219" s="136" customFormat="1" ht="11.25"/>
    <row r="1220" s="136" customFormat="1" ht="11.25"/>
    <row r="1221" s="136" customFormat="1" ht="11.25"/>
    <row r="1222" s="136" customFormat="1" ht="11.25"/>
    <row r="1223" s="136" customFormat="1" ht="11.25"/>
    <row r="1224" s="136" customFormat="1" ht="11.25"/>
    <row r="1225" s="136" customFormat="1" ht="11.25"/>
    <row r="1226" s="136" customFormat="1" ht="11.25"/>
    <row r="1227" s="136" customFormat="1" ht="11.25"/>
    <row r="1228" s="136" customFormat="1" ht="11.25"/>
    <row r="1229" s="136" customFormat="1" ht="11.25"/>
    <row r="1230" s="136" customFormat="1" ht="11.25"/>
    <row r="1231" s="136" customFormat="1" ht="11.25"/>
    <row r="1232" s="136" customFormat="1" ht="11.25"/>
    <row r="1233" s="136" customFormat="1" ht="11.25"/>
    <row r="1234" s="136" customFormat="1" ht="11.25"/>
    <row r="1235" s="136" customFormat="1" ht="11.25"/>
    <row r="1236" s="136" customFormat="1" ht="11.25"/>
    <row r="1237" s="136" customFormat="1" ht="11.25"/>
    <row r="1238" s="136" customFormat="1" ht="11.25"/>
    <row r="1239" s="136" customFormat="1" ht="11.25"/>
    <row r="1240" s="136" customFormat="1" ht="11.25"/>
    <row r="1241" s="136" customFormat="1" ht="11.25"/>
    <row r="1242" s="136" customFormat="1" ht="11.25"/>
    <row r="1243" s="136" customFormat="1" ht="11.25"/>
    <row r="1244" s="136" customFormat="1" ht="11.25"/>
    <row r="1245" s="136" customFormat="1" ht="11.25"/>
    <row r="1246" s="136" customFormat="1" ht="11.25"/>
    <row r="1247" s="136" customFormat="1" ht="11.25"/>
    <row r="1248" s="136" customFormat="1" ht="11.25"/>
    <row r="1249" s="136" customFormat="1" ht="11.25"/>
    <row r="1250" s="136" customFormat="1" ht="11.25"/>
    <row r="1251" s="136" customFormat="1" ht="11.25"/>
    <row r="1252" s="136" customFormat="1" ht="11.25"/>
    <row r="1253" s="136" customFormat="1" ht="11.25"/>
    <row r="1254" s="136" customFormat="1" ht="11.25"/>
    <row r="1255" s="136" customFormat="1" ht="11.25"/>
    <row r="1256" s="136" customFormat="1" ht="11.25"/>
    <row r="1257" s="136" customFormat="1" ht="11.25"/>
    <row r="1258" s="136" customFormat="1" ht="11.25"/>
    <row r="1259" s="136" customFormat="1" ht="11.25"/>
    <row r="1260" s="136" customFormat="1" ht="11.25"/>
    <row r="1261" s="136" customFormat="1" ht="11.25"/>
    <row r="1262" s="136" customFormat="1" ht="11.25"/>
    <row r="1263" s="136" customFormat="1" ht="11.25"/>
    <row r="1264" s="136" customFormat="1" ht="11.25"/>
    <row r="1265" s="136" customFormat="1" ht="11.25"/>
    <row r="1266" s="136" customFormat="1" ht="11.25"/>
    <row r="1267" s="136" customFormat="1" ht="11.25"/>
    <row r="1268" s="136" customFormat="1" ht="11.25"/>
    <row r="1269" s="136" customFormat="1" ht="11.25"/>
    <row r="1270" s="136" customFormat="1" ht="11.25"/>
    <row r="1271" s="136" customFormat="1" ht="11.25"/>
    <row r="1272" s="136" customFormat="1" ht="11.25"/>
    <row r="1273" s="136" customFormat="1" ht="11.25"/>
    <row r="1274" s="136" customFormat="1" ht="11.25"/>
    <row r="1275" s="136" customFormat="1" ht="11.25"/>
    <row r="1276" s="136" customFormat="1" ht="11.25"/>
    <row r="1277" s="136" customFormat="1" ht="11.25"/>
    <row r="1278" s="136" customFormat="1" ht="11.25"/>
    <row r="1279" s="136" customFormat="1" ht="11.25"/>
    <row r="1280" s="136" customFormat="1" ht="11.25"/>
    <row r="1281" s="136" customFormat="1" ht="11.25"/>
    <row r="1282" s="136" customFormat="1" ht="11.25"/>
    <row r="1283" s="136" customFormat="1" ht="11.25"/>
    <row r="1284" s="136" customFormat="1" ht="11.25"/>
    <row r="1285" s="136" customFormat="1" ht="11.25"/>
    <row r="1286" s="136" customFormat="1" ht="11.25"/>
    <row r="1287" s="136" customFormat="1" ht="11.25"/>
    <row r="1288" s="136" customFormat="1" ht="11.25"/>
    <row r="1289" s="136" customFormat="1" ht="11.25"/>
    <row r="1290" s="136" customFormat="1" ht="11.25"/>
    <row r="1291" s="136" customFormat="1" ht="11.25"/>
    <row r="1292" s="136" customFormat="1" ht="11.25"/>
    <row r="1293" s="136" customFormat="1" ht="11.25"/>
    <row r="1294" s="136" customFormat="1" ht="11.25"/>
    <row r="1295" s="136" customFormat="1" ht="11.25"/>
    <row r="1296" s="136" customFormat="1" ht="11.25"/>
    <row r="1297" s="136" customFormat="1" ht="11.25"/>
    <row r="1298" s="136" customFormat="1" ht="11.25"/>
    <row r="1299" s="136" customFormat="1" ht="11.25"/>
    <row r="1300" s="136" customFormat="1" ht="11.25"/>
    <row r="1301" s="136" customFormat="1" ht="11.25"/>
    <row r="1302" s="136" customFormat="1" ht="11.25"/>
    <row r="1303" s="136" customFormat="1" ht="11.25"/>
    <row r="1304" s="136" customFormat="1" ht="11.25"/>
    <row r="1305" s="136" customFormat="1" ht="11.25"/>
    <row r="1306" s="136" customFormat="1" ht="11.25"/>
    <row r="1307" s="136" customFormat="1" ht="11.25"/>
    <row r="1308" s="136" customFormat="1" ht="11.25"/>
    <row r="1309" s="136" customFormat="1" ht="11.25"/>
    <row r="1310" s="136" customFormat="1" ht="11.25"/>
    <row r="1311" s="136" customFormat="1" ht="11.25"/>
    <row r="1312" s="136" customFormat="1" ht="11.25"/>
    <row r="1313" s="136" customFormat="1" ht="11.25"/>
    <row r="1314" s="136" customFormat="1" ht="11.25"/>
    <row r="1315" s="136" customFormat="1" ht="11.25"/>
    <row r="1316" s="136" customFormat="1" ht="11.25"/>
    <row r="1317" s="136" customFormat="1" ht="11.25"/>
    <row r="1318" s="136" customFormat="1" ht="11.25"/>
    <row r="1319" s="136" customFormat="1" ht="11.25"/>
    <row r="1320" s="136" customFormat="1" ht="11.25"/>
    <row r="1321" s="136" customFormat="1" ht="11.25"/>
    <row r="1322" s="136" customFormat="1" ht="11.25"/>
    <row r="1323" s="136" customFormat="1" ht="11.25"/>
    <row r="1324" s="136" customFormat="1" ht="11.25"/>
    <row r="1325" s="136" customFormat="1" ht="11.25"/>
    <row r="1326" s="136" customFormat="1" ht="11.25"/>
    <row r="1327" s="136" customFormat="1" ht="11.25"/>
    <row r="1328" s="136" customFormat="1" ht="11.25"/>
    <row r="1329" s="136" customFormat="1" ht="11.25"/>
    <row r="1330" s="136" customFormat="1" ht="11.25"/>
    <row r="1331" s="136" customFormat="1" ht="11.25"/>
    <row r="1332" s="136" customFormat="1" ht="11.25"/>
  </sheetData>
  <mergeCells count="31">
    <mergeCell ref="Y12:AA12"/>
    <mergeCell ref="Y30:AA30"/>
    <mergeCell ref="T26:V26"/>
    <mergeCell ref="L7:M7"/>
    <mergeCell ref="C16:M16"/>
    <mergeCell ref="K10:M11"/>
    <mergeCell ref="C9:J9"/>
    <mergeCell ref="K9:M9"/>
    <mergeCell ref="E10:H11"/>
    <mergeCell ref="K12:M12"/>
    <mergeCell ref="Z7:AA7"/>
    <mergeCell ref="Q9:X9"/>
    <mergeCell ref="Y9:AA9"/>
    <mergeCell ref="S10:V11"/>
    <mergeCell ref="Y10:AA11"/>
    <mergeCell ref="C3:M3"/>
    <mergeCell ref="C4:M4"/>
    <mergeCell ref="C5:M5"/>
    <mergeCell ref="Q3:AA3"/>
    <mergeCell ref="Q4:AA4"/>
    <mergeCell ref="Q5:AA5"/>
    <mergeCell ref="Q36:AA37"/>
    <mergeCell ref="K32:M32"/>
    <mergeCell ref="C36:M37"/>
    <mergeCell ref="K28:M28"/>
    <mergeCell ref="K30:M30"/>
    <mergeCell ref="Y32:AA32"/>
    <mergeCell ref="Q16:AA16"/>
    <mergeCell ref="Q20:T21"/>
    <mergeCell ref="Y28:AA28"/>
    <mergeCell ref="C20:F21"/>
  </mergeCells>
  <printOptions/>
  <pageMargins left="0.55" right="0.2" top="0.2" bottom="0.24" header="0.17" footer="0.17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39"/>
  <sheetViews>
    <sheetView showGridLines="0" workbookViewId="0" topLeftCell="A31">
      <selection activeCell="A1" sqref="A1"/>
    </sheetView>
  </sheetViews>
  <sheetFormatPr defaultColWidth="9.140625" defaultRowHeight="12.75"/>
  <cols>
    <col min="1" max="1" width="2.00390625" style="168" customWidth="1"/>
    <col min="2" max="2" width="0.5625" style="168" customWidth="1"/>
    <col min="3" max="3" width="0.9921875" style="168" customWidth="1"/>
    <col min="4" max="4" width="3.140625" style="168" customWidth="1"/>
    <col min="5" max="5" width="20.8515625" style="168" customWidth="1"/>
    <col min="6" max="6" width="18.140625" style="168" customWidth="1"/>
    <col min="7" max="7" width="2.140625" style="168" customWidth="1"/>
    <col min="8" max="8" width="11.7109375" style="168" customWidth="1"/>
    <col min="9" max="9" width="13.00390625" style="168" customWidth="1"/>
    <col min="10" max="10" width="12.28125" style="168" customWidth="1"/>
    <col min="11" max="11" width="11.8515625" style="168" customWidth="1"/>
    <col min="12" max="12" width="16.8515625" style="168" customWidth="1"/>
    <col min="13" max="13" width="14.7109375" style="168" customWidth="1"/>
    <col min="14" max="14" width="16.28125" style="168" customWidth="1"/>
    <col min="15" max="15" width="1.1484375" style="168" customWidth="1"/>
    <col min="16" max="16" width="0.71875" style="168" customWidth="1"/>
    <col min="17" max="16384" width="9.140625" style="168" customWidth="1"/>
  </cols>
  <sheetData>
    <row r="1" spans="3:4" ht="23.25" customHeight="1">
      <c r="C1" s="456">
        <v>8</v>
      </c>
      <c r="D1" s="456"/>
    </row>
    <row r="2" spans="2:16" ht="3" customHeight="1">
      <c r="B2" s="190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</row>
    <row r="3" spans="2:16" s="171" customFormat="1" ht="18">
      <c r="B3" s="176"/>
      <c r="C3" s="458" t="s">
        <v>166</v>
      </c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60"/>
      <c r="P3" s="178"/>
    </row>
    <row r="4" spans="2:16" s="171" customFormat="1" ht="18.75" customHeight="1">
      <c r="B4" s="176"/>
      <c r="C4" s="461" t="s">
        <v>165</v>
      </c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3"/>
      <c r="P4" s="178"/>
    </row>
    <row r="5" spans="2:16" s="171" customFormat="1" ht="12.75">
      <c r="B5" s="176"/>
      <c r="C5" s="464" t="s">
        <v>164</v>
      </c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6"/>
      <c r="P5" s="178"/>
    </row>
    <row r="6" spans="2:16" s="171" customFormat="1" ht="12.75">
      <c r="B6" s="176"/>
      <c r="C6" s="449" t="s">
        <v>163</v>
      </c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1"/>
      <c r="P6" s="178"/>
    </row>
    <row r="7" spans="2:16" s="171" customFormat="1" ht="15">
      <c r="B7" s="176"/>
      <c r="C7" s="470" t="s">
        <v>290</v>
      </c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2"/>
      <c r="P7" s="178"/>
    </row>
    <row r="8" spans="2:16" s="171" customFormat="1" ht="15.75" customHeight="1">
      <c r="B8" s="176"/>
      <c r="C8" s="449" t="str">
        <f>"Statement of contributions for the month of "&amp;VLOOKUP($C$1,'PF-DATA'!$A$3:$V$62,22,0)</f>
        <v>Statement of contributions for the month of AUGUST ' 2004</v>
      </c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1"/>
      <c r="P8" s="178"/>
    </row>
    <row r="9" spans="2:16" s="171" customFormat="1" ht="15.75" customHeight="1">
      <c r="B9" s="176"/>
      <c r="C9" s="449" t="s">
        <v>173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1"/>
      <c r="P9" s="178"/>
    </row>
    <row r="10" spans="2:16" s="171" customFormat="1" ht="2.25" customHeight="1">
      <c r="B10" s="176"/>
      <c r="C10" s="176"/>
      <c r="D10" s="177"/>
      <c r="E10" s="177"/>
      <c r="G10" s="179"/>
      <c r="H10" s="177"/>
      <c r="J10" s="177"/>
      <c r="K10" s="177"/>
      <c r="L10" s="177"/>
      <c r="M10" s="177"/>
      <c r="N10" s="177"/>
      <c r="O10" s="178"/>
      <c r="P10" s="178"/>
    </row>
    <row r="11" spans="2:16" s="171" customFormat="1" ht="16.5" customHeight="1">
      <c r="B11" s="176"/>
      <c r="C11" s="176"/>
      <c r="D11" s="256" t="s">
        <v>167</v>
      </c>
      <c r="E11" s="177"/>
      <c r="G11" s="179"/>
      <c r="H11" s="177"/>
      <c r="J11" s="177"/>
      <c r="K11" s="177"/>
      <c r="L11" s="250"/>
      <c r="M11" s="177"/>
      <c r="N11" s="177"/>
      <c r="O11" s="178"/>
      <c r="P11" s="178"/>
    </row>
    <row r="12" spans="2:16" s="171" customFormat="1" ht="14.25">
      <c r="B12" s="176"/>
      <c r="C12" s="176"/>
      <c r="D12" s="177"/>
      <c r="E12" s="204" t="s">
        <v>298</v>
      </c>
      <c r="G12" s="179"/>
      <c r="H12" s="177"/>
      <c r="I12" s="177"/>
      <c r="J12" s="177"/>
      <c r="K12" s="177"/>
      <c r="L12" s="250"/>
      <c r="M12" s="177"/>
      <c r="N12" s="177"/>
      <c r="O12" s="178"/>
      <c r="P12" s="178"/>
    </row>
    <row r="13" spans="2:16" s="171" customFormat="1" ht="14.25">
      <c r="B13" s="176"/>
      <c r="C13" s="176"/>
      <c r="E13" s="255"/>
      <c r="G13" s="180"/>
      <c r="H13" s="177"/>
      <c r="I13" s="177" t="s">
        <v>181</v>
      </c>
      <c r="K13" s="177"/>
      <c r="L13" s="177"/>
      <c r="M13" s="177"/>
      <c r="N13" s="177"/>
      <c r="O13" s="178"/>
      <c r="P13" s="178"/>
    </row>
    <row r="14" spans="2:16" s="171" customFormat="1" ht="12.75">
      <c r="B14" s="176"/>
      <c r="C14" s="176"/>
      <c r="E14" s="254" t="s">
        <v>292</v>
      </c>
      <c r="F14" s="179"/>
      <c r="G14" s="180"/>
      <c r="H14" s="177"/>
      <c r="I14" s="177"/>
      <c r="J14" s="177"/>
      <c r="K14" s="177"/>
      <c r="L14" s="177"/>
      <c r="M14" s="177"/>
      <c r="N14" s="177"/>
      <c r="O14" s="178"/>
      <c r="P14" s="178"/>
    </row>
    <row r="15" spans="2:16" ht="8.25" customHeight="1" thickBot="1">
      <c r="B15" s="185"/>
      <c r="C15" s="181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82"/>
      <c r="P15" s="187"/>
    </row>
    <row r="16" spans="2:16" s="174" customFormat="1" ht="27.75" customHeight="1">
      <c r="B16" s="183"/>
      <c r="C16" s="454" t="s">
        <v>43</v>
      </c>
      <c r="D16" s="454"/>
      <c r="E16" s="454"/>
      <c r="F16" s="446" t="s">
        <v>148</v>
      </c>
      <c r="G16" s="439" t="s">
        <v>155</v>
      </c>
      <c r="H16" s="440"/>
      <c r="I16" s="441"/>
      <c r="J16" s="446" t="s">
        <v>156</v>
      </c>
      <c r="K16" s="446"/>
      <c r="L16" s="446" t="s">
        <v>153</v>
      </c>
      <c r="M16" s="446" t="s">
        <v>154</v>
      </c>
      <c r="N16" s="446" t="s">
        <v>182</v>
      </c>
      <c r="O16" s="446"/>
      <c r="P16" s="184"/>
    </row>
    <row r="17" spans="2:16" s="174" customFormat="1" ht="30.75" customHeight="1" thickBot="1">
      <c r="B17" s="183"/>
      <c r="C17" s="455"/>
      <c r="D17" s="455"/>
      <c r="E17" s="455"/>
      <c r="F17" s="447"/>
      <c r="G17" s="444" t="s">
        <v>149</v>
      </c>
      <c r="H17" s="445"/>
      <c r="I17" s="253" t="s">
        <v>150</v>
      </c>
      <c r="J17" s="253" t="s">
        <v>151</v>
      </c>
      <c r="K17" s="253" t="s">
        <v>152</v>
      </c>
      <c r="L17" s="447"/>
      <c r="M17" s="447"/>
      <c r="N17" s="447"/>
      <c r="O17" s="447"/>
      <c r="P17" s="184"/>
    </row>
    <row r="18" spans="2:16" ht="12.75">
      <c r="B18" s="185"/>
      <c r="C18" s="185"/>
      <c r="D18" s="186"/>
      <c r="E18" s="186"/>
      <c r="F18" s="193"/>
      <c r="G18" s="185"/>
      <c r="H18" s="187"/>
      <c r="I18" s="193"/>
      <c r="J18" s="193"/>
      <c r="K18" s="193"/>
      <c r="L18" s="186"/>
      <c r="M18" s="193"/>
      <c r="N18" s="186"/>
      <c r="O18" s="187"/>
      <c r="P18" s="187"/>
    </row>
    <row r="19" spans="2:16" ht="14.25">
      <c r="B19" s="185"/>
      <c r="C19" s="185"/>
      <c r="D19" s="177" t="s">
        <v>161</v>
      </c>
      <c r="E19" s="186"/>
      <c r="F19" s="220">
        <f>VLOOKUP($C$1,'PF-DATA'!$A$3:$U$62,7,0)</f>
        <v>0</v>
      </c>
      <c r="G19" s="452">
        <f>VLOOKUP($C$1,'PF-DATA'!$A$3:$U$62,8,0)</f>
        <v>0</v>
      </c>
      <c r="H19" s="453"/>
      <c r="I19" s="220">
        <f>VLOOKUP($C$1,'PF-DATA'!$A$3:$U$62,9,0)</f>
        <v>0</v>
      </c>
      <c r="J19" s="220">
        <f>G19</f>
        <v>0</v>
      </c>
      <c r="K19" s="220">
        <f>I19</f>
        <v>0</v>
      </c>
      <c r="L19" s="220">
        <f>VLOOKUP($C$1,'PF-DATA'!$A$3:$U$62,10,0)</f>
        <v>0</v>
      </c>
      <c r="M19" s="220">
        <f>L19</f>
        <v>0</v>
      </c>
      <c r="N19" s="240">
        <f>VLOOKUP($C$1,'PF-DATA'!$A$3:$U$62,21,0)</f>
        <v>0</v>
      </c>
      <c r="O19" s="187"/>
      <c r="P19" s="187"/>
    </row>
    <row r="20" spans="2:16" ht="14.25">
      <c r="B20" s="185"/>
      <c r="C20" s="188"/>
      <c r="D20" s="172"/>
      <c r="E20" s="169"/>
      <c r="F20" s="221"/>
      <c r="G20" s="206"/>
      <c r="H20" s="225"/>
      <c r="I20" s="221"/>
      <c r="J20" s="221"/>
      <c r="K20" s="221"/>
      <c r="L20" s="226"/>
      <c r="M20" s="221"/>
      <c r="N20" s="241"/>
      <c r="O20" s="189"/>
      <c r="P20" s="187"/>
    </row>
    <row r="21" spans="2:16" ht="14.25">
      <c r="B21" s="185"/>
      <c r="C21" s="185"/>
      <c r="D21" s="177"/>
      <c r="E21" s="186"/>
      <c r="F21" s="222"/>
      <c r="G21" s="207"/>
      <c r="H21" s="208"/>
      <c r="I21" s="205"/>
      <c r="J21" s="209"/>
      <c r="K21" s="205"/>
      <c r="L21" s="216"/>
      <c r="M21" s="217"/>
      <c r="N21" s="242"/>
      <c r="O21" s="187"/>
      <c r="P21" s="187"/>
    </row>
    <row r="22" spans="2:16" ht="14.25">
      <c r="B22" s="185"/>
      <c r="C22" s="185"/>
      <c r="D22" s="177" t="s">
        <v>80</v>
      </c>
      <c r="E22" s="186"/>
      <c r="F22" s="220">
        <f>F19</f>
        <v>0</v>
      </c>
      <c r="G22" s="442" t="s">
        <v>171</v>
      </c>
      <c r="H22" s="443"/>
      <c r="I22" s="220">
        <f>VLOOKUP($C$1,'PF-DATA'!$A$3:$U$62,11,0)</f>
        <v>0</v>
      </c>
      <c r="J22" s="210" t="s">
        <v>171</v>
      </c>
      <c r="K22" s="220">
        <f>I22</f>
        <v>0</v>
      </c>
      <c r="L22" s="210" t="s">
        <v>171</v>
      </c>
      <c r="M22" s="210" t="s">
        <v>171</v>
      </c>
      <c r="N22" s="240">
        <f>N19</f>
        <v>0</v>
      </c>
      <c r="O22" s="187"/>
      <c r="P22" s="187"/>
    </row>
    <row r="23" spans="2:16" ht="14.25">
      <c r="B23" s="185"/>
      <c r="C23" s="188"/>
      <c r="D23" s="172"/>
      <c r="E23" s="169"/>
      <c r="F23" s="223"/>
      <c r="G23" s="211"/>
      <c r="H23" s="212"/>
      <c r="I23" s="223"/>
      <c r="J23" s="213"/>
      <c r="K23" s="227"/>
      <c r="L23" s="218"/>
      <c r="M23" s="219"/>
      <c r="N23" s="243"/>
      <c r="O23" s="189"/>
      <c r="P23" s="187"/>
    </row>
    <row r="24" spans="2:16" ht="14.25">
      <c r="B24" s="185"/>
      <c r="C24" s="185"/>
      <c r="D24" s="177"/>
      <c r="E24" s="186"/>
      <c r="F24" s="224"/>
      <c r="G24" s="214"/>
      <c r="H24" s="215"/>
      <c r="I24" s="224"/>
      <c r="J24" s="210"/>
      <c r="K24" s="228"/>
      <c r="L24" s="177"/>
      <c r="M24" s="205"/>
      <c r="N24" s="244"/>
      <c r="O24" s="187"/>
      <c r="P24" s="187"/>
    </row>
    <row r="25" spans="2:16" ht="14.25">
      <c r="B25" s="185"/>
      <c r="C25" s="185"/>
      <c r="D25" s="177" t="s">
        <v>162</v>
      </c>
      <c r="E25" s="186"/>
      <c r="F25" s="220">
        <f>F22</f>
        <v>0</v>
      </c>
      <c r="G25" s="442" t="s">
        <v>171</v>
      </c>
      <c r="H25" s="443"/>
      <c r="I25" s="220">
        <f>VLOOKUP($C$1,'PF-DATA'!$A$3:$U$62,12,0)</f>
        <v>0</v>
      </c>
      <c r="J25" s="210" t="s">
        <v>171</v>
      </c>
      <c r="K25" s="220">
        <f>I25</f>
        <v>0</v>
      </c>
      <c r="L25" s="220">
        <f>VLOOKUP($C$1,'PF-DATA'!$A$3:$U$62,13,0)</f>
        <v>0</v>
      </c>
      <c r="M25" s="220">
        <f>L25</f>
        <v>0</v>
      </c>
      <c r="N25" s="240">
        <f>N22</f>
        <v>0</v>
      </c>
      <c r="O25" s="187"/>
      <c r="P25" s="187"/>
    </row>
    <row r="26" spans="2:16" ht="13.5" thickBot="1">
      <c r="B26" s="185"/>
      <c r="C26" s="181"/>
      <c r="D26" s="173"/>
      <c r="E26" s="170"/>
      <c r="F26" s="195"/>
      <c r="G26" s="199"/>
      <c r="H26" s="198"/>
      <c r="I26" s="195"/>
      <c r="J26" s="175"/>
      <c r="K26" s="229"/>
      <c r="L26" s="170"/>
      <c r="M26" s="195"/>
      <c r="N26" s="245"/>
      <c r="O26" s="182"/>
      <c r="P26" s="187"/>
    </row>
    <row r="27" spans="2:16" ht="9" customHeight="1">
      <c r="B27" s="185"/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7"/>
      <c r="P27" s="187"/>
    </row>
    <row r="28" spans="2:16" ht="16.5" customHeight="1">
      <c r="B28" s="185"/>
      <c r="C28" s="185"/>
      <c r="D28" s="196" t="s">
        <v>157</v>
      </c>
      <c r="E28" s="177"/>
      <c r="F28" s="186"/>
      <c r="G28" s="186"/>
      <c r="H28" s="186"/>
      <c r="I28" s="186"/>
      <c r="J28" s="186"/>
      <c r="K28" s="186"/>
      <c r="L28" s="438" t="s">
        <v>168</v>
      </c>
      <c r="M28" s="180" t="s">
        <v>137</v>
      </c>
      <c r="N28" s="186"/>
      <c r="O28" s="187"/>
      <c r="P28" s="187"/>
    </row>
    <row r="29" spans="2:16" ht="17.25" customHeight="1">
      <c r="B29" s="185"/>
      <c r="C29" s="185"/>
      <c r="D29" s="186"/>
      <c r="E29" s="234" t="s">
        <v>175</v>
      </c>
      <c r="F29" s="246">
        <v>5</v>
      </c>
      <c r="G29" s="448" t="s">
        <v>285</v>
      </c>
      <c r="H29" s="438"/>
      <c r="I29" s="438"/>
      <c r="J29" s="438"/>
      <c r="K29" s="257"/>
      <c r="L29" s="438"/>
      <c r="M29" s="252" t="s">
        <v>169</v>
      </c>
      <c r="N29" s="186"/>
      <c r="O29" s="187"/>
      <c r="P29" s="187"/>
    </row>
    <row r="30" spans="2:16" ht="18.75" customHeight="1">
      <c r="B30" s="185"/>
      <c r="C30" s="185"/>
      <c r="D30" s="186"/>
      <c r="E30" s="235" t="s">
        <v>172</v>
      </c>
      <c r="F30" s="247">
        <f>H37</f>
        <v>0</v>
      </c>
      <c r="G30" s="448"/>
      <c r="H30" s="438"/>
      <c r="I30" s="438"/>
      <c r="J30" s="438"/>
      <c r="K30" s="257"/>
      <c r="L30" s="438"/>
      <c r="M30" s="251" t="s">
        <v>170</v>
      </c>
      <c r="N30" s="186"/>
      <c r="O30" s="187"/>
      <c r="P30" s="187"/>
    </row>
    <row r="31" spans="2:16" ht="20.25" customHeight="1">
      <c r="B31" s="185"/>
      <c r="C31" s="185"/>
      <c r="D31" s="186"/>
      <c r="E31" s="236" t="s">
        <v>176</v>
      </c>
      <c r="F31" s="248">
        <f>SUM(F29:F30)</f>
        <v>5</v>
      </c>
      <c r="G31" s="179"/>
      <c r="H31" s="257"/>
      <c r="I31" s="257"/>
      <c r="J31" s="257"/>
      <c r="K31" s="257"/>
      <c r="L31" s="438"/>
      <c r="M31" s="186"/>
      <c r="N31" s="186"/>
      <c r="O31" s="187"/>
      <c r="P31" s="187"/>
    </row>
    <row r="32" spans="2:16" ht="9.75" customHeight="1" thickBot="1">
      <c r="B32" s="185"/>
      <c r="C32" s="181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82"/>
      <c r="P32" s="187"/>
    </row>
    <row r="33" spans="2:16" ht="27" customHeight="1">
      <c r="B33" s="185"/>
      <c r="C33" s="467" t="s">
        <v>81</v>
      </c>
      <c r="D33" s="468"/>
      <c r="E33" s="468"/>
      <c r="F33" s="468"/>
      <c r="G33" s="469"/>
      <c r="H33" s="203" t="s">
        <v>83</v>
      </c>
      <c r="I33" s="203" t="s">
        <v>84</v>
      </c>
      <c r="J33" s="203" t="s">
        <v>85</v>
      </c>
      <c r="K33" s="186"/>
      <c r="L33" s="186"/>
      <c r="M33" s="186"/>
      <c r="N33" s="186"/>
      <c r="O33" s="187"/>
      <c r="P33" s="187"/>
    </row>
    <row r="34" spans="2:16" ht="19.5" customHeight="1">
      <c r="B34" s="185"/>
      <c r="C34" s="200"/>
      <c r="D34" s="201" t="s">
        <v>158</v>
      </c>
      <c r="E34" s="202"/>
      <c r="F34" s="202"/>
      <c r="G34" s="202"/>
      <c r="H34" s="233">
        <f>VLOOKUP($C$1,'PF-DATA'!$A$3:$U$62,14,0)</f>
        <v>0</v>
      </c>
      <c r="I34" s="230">
        <f>H34</f>
        <v>0</v>
      </c>
      <c r="J34" s="230">
        <f>H34</f>
        <v>0</v>
      </c>
      <c r="K34" s="186"/>
      <c r="L34" s="186"/>
      <c r="M34" s="186"/>
      <c r="N34" s="186"/>
      <c r="O34" s="187"/>
      <c r="P34" s="187"/>
    </row>
    <row r="35" spans="2:16" ht="19.5" customHeight="1">
      <c r="B35" s="185"/>
      <c r="C35" s="200"/>
      <c r="D35" s="201" t="s">
        <v>159</v>
      </c>
      <c r="E35" s="202"/>
      <c r="F35" s="202"/>
      <c r="G35" s="202"/>
      <c r="H35" s="233">
        <f>VLOOKUP($C$1,'PF-DATA'!$A$3:$U$62,15,0)</f>
        <v>0</v>
      </c>
      <c r="I35" s="231">
        <f>H35</f>
        <v>0</v>
      </c>
      <c r="J35" s="231">
        <f>I35</f>
        <v>0</v>
      </c>
      <c r="K35" s="186"/>
      <c r="L35" s="186"/>
      <c r="M35" s="186"/>
      <c r="N35" s="186"/>
      <c r="O35" s="187"/>
      <c r="P35" s="187"/>
    </row>
    <row r="36" spans="2:16" ht="19.5" customHeight="1">
      <c r="B36" s="185"/>
      <c r="C36" s="200"/>
      <c r="D36" s="201" t="s">
        <v>160</v>
      </c>
      <c r="E36" s="202"/>
      <c r="F36" s="202"/>
      <c r="G36" s="202"/>
      <c r="H36" s="233">
        <f>VLOOKUP($C$1,'PF-DATA'!$A$3:$U$62,16,0)</f>
        <v>0</v>
      </c>
      <c r="I36" s="231">
        <f>H36</f>
        <v>0</v>
      </c>
      <c r="J36" s="231">
        <f>I36</f>
        <v>0</v>
      </c>
      <c r="K36" s="186"/>
      <c r="L36" s="186"/>
      <c r="M36" s="186"/>
      <c r="N36" s="186"/>
      <c r="O36" s="187"/>
      <c r="P36" s="187"/>
    </row>
    <row r="37" spans="2:16" ht="18.75" customHeight="1">
      <c r="B37" s="185"/>
      <c r="C37" s="185"/>
      <c r="D37" s="180" t="s">
        <v>82</v>
      </c>
      <c r="E37" s="197"/>
      <c r="F37" s="197"/>
      <c r="G37" s="197"/>
      <c r="H37" s="232">
        <f>SUM((H34+H35)-H36)</f>
        <v>0</v>
      </c>
      <c r="I37" s="232">
        <f>SUM((I34+I35)-I36)</f>
        <v>0</v>
      </c>
      <c r="J37" s="232">
        <f>SUM((J34+J35)-J36)</f>
        <v>0</v>
      </c>
      <c r="K37" s="186"/>
      <c r="L37" s="457" t="s">
        <v>174</v>
      </c>
      <c r="M37" s="457"/>
      <c r="N37" s="457"/>
      <c r="O37" s="187"/>
      <c r="P37" s="187"/>
    </row>
    <row r="38" spans="2:16" ht="3" customHeight="1">
      <c r="B38" s="185"/>
      <c r="C38" s="188"/>
      <c r="D38" s="172"/>
      <c r="E38" s="169"/>
      <c r="F38" s="169"/>
      <c r="G38" s="169"/>
      <c r="H38" s="194"/>
      <c r="I38" s="194"/>
      <c r="J38" s="194"/>
      <c r="K38" s="169"/>
      <c r="L38" s="169"/>
      <c r="M38" s="169"/>
      <c r="N38" s="169"/>
      <c r="O38" s="189"/>
      <c r="P38" s="187"/>
    </row>
    <row r="39" spans="2:16" ht="3.75" customHeight="1">
      <c r="B39" s="18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89"/>
    </row>
    <row r="53" ht="12.75" customHeight="1"/>
  </sheetData>
  <mergeCells count="23">
    <mergeCell ref="C1:D1"/>
    <mergeCell ref="L37:N37"/>
    <mergeCell ref="M16:M17"/>
    <mergeCell ref="C3:O3"/>
    <mergeCell ref="C4:O4"/>
    <mergeCell ref="C5:O5"/>
    <mergeCell ref="C6:O6"/>
    <mergeCell ref="F16:F17"/>
    <mergeCell ref="C33:G33"/>
    <mergeCell ref="C7:O7"/>
    <mergeCell ref="C8:O8"/>
    <mergeCell ref="C9:O9"/>
    <mergeCell ref="G19:H19"/>
    <mergeCell ref="N16:O17"/>
    <mergeCell ref="C16:E17"/>
    <mergeCell ref="L28:L31"/>
    <mergeCell ref="G16:I16"/>
    <mergeCell ref="G22:H22"/>
    <mergeCell ref="G25:H25"/>
    <mergeCell ref="G17:H17"/>
    <mergeCell ref="J16:K16"/>
    <mergeCell ref="L16:L17"/>
    <mergeCell ref="G29:J30"/>
  </mergeCells>
  <printOptions/>
  <pageMargins left="0.25" right="0.2" top="0.22" bottom="0.2" header="0.17" footer="0.17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Z57"/>
  <sheetViews>
    <sheetView tabSelected="1" workbookViewId="0" topLeftCell="A37">
      <selection activeCell="A31" sqref="A31"/>
    </sheetView>
  </sheetViews>
  <sheetFormatPr defaultColWidth="9.140625" defaultRowHeight="12.75"/>
  <cols>
    <col min="1" max="3" width="2.8515625" style="97" customWidth="1"/>
    <col min="4" max="4" width="0.9921875" style="97" customWidth="1"/>
    <col min="5" max="9" width="2.8515625" style="97" customWidth="1"/>
    <col min="10" max="10" width="9.00390625" style="97" customWidth="1"/>
    <col min="11" max="11" width="0.5625" style="97" customWidth="1"/>
    <col min="12" max="13" width="4.421875" style="97" customWidth="1"/>
    <col min="14" max="14" width="2.57421875" style="97" customWidth="1"/>
    <col min="15" max="15" width="4.57421875" style="97" customWidth="1"/>
    <col min="16" max="17" width="2.8515625" style="97" customWidth="1"/>
    <col min="18" max="18" width="1.57421875" style="97" customWidth="1"/>
    <col min="19" max="20" width="2.8515625" style="97" customWidth="1"/>
    <col min="21" max="21" width="3.8515625" style="97" customWidth="1"/>
    <col min="22" max="23" width="2.8515625" style="97" customWidth="1"/>
    <col min="24" max="25" width="2.7109375" style="97" customWidth="1"/>
    <col min="26" max="26" width="2.57421875" style="97" customWidth="1"/>
    <col min="27" max="27" width="3.140625" style="97" customWidth="1"/>
    <col min="28" max="28" width="2.140625" style="97" customWidth="1"/>
    <col min="29" max="29" width="2.8515625" style="97" customWidth="1"/>
    <col min="30" max="30" width="2.00390625" style="97" customWidth="1"/>
    <col min="31" max="31" width="2.421875" style="97" customWidth="1"/>
    <col min="32" max="32" width="2.8515625" style="97" customWidth="1"/>
    <col min="33" max="33" width="2.00390625" style="97" customWidth="1"/>
    <col min="34" max="34" width="1.7109375" style="97" customWidth="1"/>
    <col min="35" max="35" width="2.57421875" style="97" customWidth="1"/>
    <col min="36" max="36" width="2.7109375" style="97" customWidth="1"/>
    <col min="37" max="37" width="2.00390625" style="97" customWidth="1"/>
    <col min="38" max="38" width="3.28125" style="97" customWidth="1"/>
    <col min="39" max="39" width="2.7109375" style="97" customWidth="1"/>
    <col min="40" max="41" width="2.28125" style="97" customWidth="1"/>
    <col min="42" max="42" width="2.7109375" style="97" customWidth="1"/>
    <col min="43" max="43" width="2.57421875" style="97" customWidth="1"/>
    <col min="44" max="45" width="2.8515625" style="97" customWidth="1"/>
    <col min="46" max="46" width="2.28125" style="97" customWidth="1"/>
    <col min="47" max="47" width="1.1484375" style="97" customWidth="1"/>
    <col min="48" max="48" width="0.9921875" style="97" customWidth="1"/>
    <col min="49" max="49" width="1.57421875" style="97" customWidth="1"/>
    <col min="50" max="50" width="0.42578125" style="97" customWidth="1"/>
    <col min="51" max="51" width="2.8515625" style="97" hidden="1" customWidth="1"/>
    <col min="52" max="52" width="11.57421875" style="97" customWidth="1"/>
    <col min="53" max="16384" width="2.8515625" style="97" customWidth="1"/>
  </cols>
  <sheetData>
    <row r="1" ht="6" customHeight="1" thickBot="1"/>
    <row r="2" spans="2:9" ht="12.75" thickBot="1">
      <c r="B2" s="97" t="s">
        <v>73</v>
      </c>
      <c r="H2" s="475">
        <v>10</v>
      </c>
      <c r="I2" s="476"/>
    </row>
    <row r="3" ht="4.5" customHeight="1" thickBot="1"/>
    <row r="4" spans="2:45" ht="4.5" customHeight="1" thickTop="1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3"/>
    </row>
    <row r="5" spans="2:45" ht="15.75" customHeight="1">
      <c r="B5" s="104"/>
      <c r="C5" s="404" t="s">
        <v>68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105"/>
    </row>
    <row r="6" spans="2:45" ht="15" customHeight="1">
      <c r="B6" s="104"/>
      <c r="C6" s="360" t="s">
        <v>30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105"/>
    </row>
    <row r="7" spans="2:52" ht="18">
      <c r="B7" s="110"/>
      <c r="C7" s="405" t="s">
        <v>67</v>
      </c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111"/>
      <c r="AZ7" s="133">
        <f ca="1">TODAY()</f>
        <v>40380</v>
      </c>
    </row>
    <row r="8" spans="2:52" ht="12">
      <c r="B8" s="104"/>
      <c r="C8" s="406" t="s">
        <v>31</v>
      </c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105"/>
      <c r="AZ8" s="133"/>
    </row>
    <row r="9" spans="2:52" ht="12">
      <c r="B9" s="104"/>
      <c r="C9" s="474" t="s">
        <v>100</v>
      </c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105"/>
      <c r="AZ9" s="134">
        <f ca="1">TODAY()</f>
        <v>40380</v>
      </c>
    </row>
    <row r="10" spans="2:45" ht="15">
      <c r="B10" s="104"/>
      <c r="C10" s="393" t="s">
        <v>99</v>
      </c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105"/>
    </row>
    <row r="11" spans="2:45" ht="12">
      <c r="B11" s="104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105"/>
    </row>
    <row r="12" spans="2:45" ht="12">
      <c r="B12" s="104"/>
      <c r="C12" s="391" t="s">
        <v>32</v>
      </c>
      <c r="D12" s="391"/>
      <c r="E12" s="391"/>
      <c r="F12" s="391"/>
      <c r="G12" s="391"/>
      <c r="H12" s="391"/>
      <c r="I12" s="391"/>
      <c r="J12" s="391"/>
      <c r="K12" s="98"/>
      <c r="L12" s="98" t="s">
        <v>57</v>
      </c>
      <c r="M12" s="98"/>
      <c r="N12" s="98"/>
      <c r="O12" s="98"/>
      <c r="P12" s="113"/>
      <c r="Q12" s="113"/>
      <c r="R12" s="99"/>
      <c r="S12" s="113"/>
      <c r="T12" s="113"/>
      <c r="U12" s="98"/>
      <c r="V12" s="98"/>
      <c r="W12" s="98"/>
      <c r="X12" s="98"/>
      <c r="Y12" s="98"/>
      <c r="Z12" s="98"/>
      <c r="AA12" s="98"/>
      <c r="AB12" s="98"/>
      <c r="AC12" s="389" t="s">
        <v>34</v>
      </c>
      <c r="AD12" s="389"/>
      <c r="AE12" s="389" t="s">
        <v>34</v>
      </c>
      <c r="AF12" s="389"/>
      <c r="AG12" s="98"/>
      <c r="AH12" s="98"/>
      <c r="AI12" s="389" t="s">
        <v>35</v>
      </c>
      <c r="AJ12" s="389"/>
      <c r="AK12" s="389" t="s">
        <v>35</v>
      </c>
      <c r="AL12" s="389"/>
      <c r="AM12" s="98"/>
      <c r="AN12" s="98"/>
      <c r="AO12" s="389" t="s">
        <v>37</v>
      </c>
      <c r="AP12" s="389"/>
      <c r="AQ12" s="389" t="s">
        <v>37</v>
      </c>
      <c r="AR12" s="389"/>
      <c r="AS12" s="105"/>
    </row>
    <row r="13" spans="2:50" ht="3" customHeight="1">
      <c r="B13" s="104"/>
      <c r="C13" s="391"/>
      <c r="D13" s="391"/>
      <c r="E13" s="391"/>
      <c r="F13" s="391"/>
      <c r="G13" s="391"/>
      <c r="H13" s="391"/>
      <c r="I13" s="391"/>
      <c r="J13" s="391"/>
      <c r="K13" s="98"/>
      <c r="L13" s="98"/>
      <c r="M13" s="98"/>
      <c r="N13" s="98"/>
      <c r="O13" s="98"/>
      <c r="P13" s="99"/>
      <c r="Q13" s="99"/>
      <c r="R13" s="99"/>
      <c r="S13" s="99"/>
      <c r="T13" s="99"/>
      <c r="U13" s="98"/>
      <c r="V13" s="391" t="s">
        <v>33</v>
      </c>
      <c r="W13" s="391"/>
      <c r="X13" s="391"/>
      <c r="Y13" s="391"/>
      <c r="Z13" s="391"/>
      <c r="AA13" s="391"/>
      <c r="AB13" s="392"/>
      <c r="AC13" s="384"/>
      <c r="AD13" s="385"/>
      <c r="AE13" s="385"/>
      <c r="AF13" s="386"/>
      <c r="AG13" s="98"/>
      <c r="AH13" s="98"/>
      <c r="AI13" s="384"/>
      <c r="AJ13" s="385"/>
      <c r="AK13" s="385"/>
      <c r="AL13" s="386"/>
      <c r="AM13" s="98"/>
      <c r="AN13" s="98"/>
      <c r="AO13" s="384"/>
      <c r="AP13" s="385"/>
      <c r="AQ13" s="385"/>
      <c r="AR13" s="386"/>
      <c r="AS13" s="105"/>
      <c r="AX13" s="98"/>
    </row>
    <row r="14" spans="2:45" ht="12">
      <c r="B14" s="104"/>
      <c r="C14" s="391"/>
      <c r="D14" s="391"/>
      <c r="E14" s="391"/>
      <c r="F14" s="391"/>
      <c r="G14" s="391"/>
      <c r="H14" s="391"/>
      <c r="I14" s="391"/>
      <c r="J14" s="391"/>
      <c r="K14" s="98"/>
      <c r="L14" s="98" t="s">
        <v>58</v>
      </c>
      <c r="M14" s="98"/>
      <c r="N14" s="98"/>
      <c r="O14" s="98"/>
      <c r="P14" s="113"/>
      <c r="Q14" s="113"/>
      <c r="R14" s="99"/>
      <c r="S14" s="113"/>
      <c r="T14" s="113"/>
      <c r="U14" s="98"/>
      <c r="V14" s="391"/>
      <c r="W14" s="391"/>
      <c r="X14" s="391"/>
      <c r="Y14" s="391"/>
      <c r="Z14" s="391"/>
      <c r="AA14" s="391"/>
      <c r="AB14" s="392"/>
      <c r="AC14" s="407">
        <v>27</v>
      </c>
      <c r="AD14" s="408"/>
      <c r="AE14" s="408"/>
      <c r="AF14" s="409"/>
      <c r="AG14" s="98"/>
      <c r="AH14" s="98"/>
      <c r="AI14" s="388">
        <v>11</v>
      </c>
      <c r="AJ14" s="389"/>
      <c r="AK14" s="389"/>
      <c r="AL14" s="390"/>
      <c r="AM14" s="98"/>
      <c r="AN14" s="98"/>
      <c r="AO14" s="388">
        <v>2003</v>
      </c>
      <c r="AP14" s="389"/>
      <c r="AQ14" s="389"/>
      <c r="AR14" s="390"/>
      <c r="AS14" s="105"/>
    </row>
    <row r="15" spans="2:45" ht="7.5" customHeight="1">
      <c r="B15" s="104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105"/>
    </row>
    <row r="16" spans="2:45" ht="12.75" customHeight="1">
      <c r="B16" s="104"/>
      <c r="C16" s="98" t="s">
        <v>36</v>
      </c>
      <c r="D16" s="98"/>
      <c r="E16" s="98"/>
      <c r="F16" s="98"/>
      <c r="G16" s="98"/>
      <c r="H16" s="98"/>
      <c r="I16" s="98"/>
      <c r="J16" s="98"/>
      <c r="K16" s="98"/>
      <c r="L16" s="393" t="s">
        <v>39</v>
      </c>
      <c r="M16" s="393"/>
      <c r="N16" s="393"/>
      <c r="O16" s="98"/>
      <c r="P16" s="397"/>
      <c r="Q16" s="398"/>
      <c r="R16" s="398"/>
      <c r="S16" s="398"/>
      <c r="T16" s="398"/>
      <c r="U16" s="399"/>
      <c r="V16" s="393" t="s">
        <v>40</v>
      </c>
      <c r="W16" s="393"/>
      <c r="X16" s="393"/>
      <c r="Y16" s="98"/>
      <c r="Z16" s="397"/>
      <c r="AA16" s="398"/>
      <c r="AB16" s="398"/>
      <c r="AC16" s="398"/>
      <c r="AD16" s="398"/>
      <c r="AE16" s="398"/>
      <c r="AF16" s="399"/>
      <c r="AG16" s="98"/>
      <c r="AH16" s="393" t="s">
        <v>41</v>
      </c>
      <c r="AI16" s="393"/>
      <c r="AJ16" s="393"/>
      <c r="AK16" s="98"/>
      <c r="AL16" s="397"/>
      <c r="AM16" s="398"/>
      <c r="AN16" s="398"/>
      <c r="AO16" s="398"/>
      <c r="AP16" s="398"/>
      <c r="AQ16" s="398"/>
      <c r="AR16" s="399"/>
      <c r="AS16" s="105"/>
    </row>
    <row r="17" spans="2:45" ht="3" customHeight="1">
      <c r="B17" s="104"/>
      <c r="C17" s="98"/>
      <c r="D17" s="98"/>
      <c r="E17" s="98"/>
      <c r="F17" s="98"/>
      <c r="G17" s="98"/>
      <c r="H17" s="98"/>
      <c r="I17" s="98"/>
      <c r="J17" s="98"/>
      <c r="K17" s="98"/>
      <c r="L17" s="393"/>
      <c r="M17" s="393"/>
      <c r="N17" s="393"/>
      <c r="O17" s="98"/>
      <c r="P17" s="98"/>
      <c r="Q17" s="98"/>
      <c r="R17" s="98"/>
      <c r="S17" s="98"/>
      <c r="T17" s="98"/>
      <c r="U17" s="98"/>
      <c r="V17" s="393"/>
      <c r="W17" s="393"/>
      <c r="X17" s="393"/>
      <c r="Y17" s="98"/>
      <c r="Z17" s="98"/>
      <c r="AA17" s="98"/>
      <c r="AB17" s="98"/>
      <c r="AC17" s="98"/>
      <c r="AD17" s="98"/>
      <c r="AE17" s="98"/>
      <c r="AF17" s="98"/>
      <c r="AG17" s="98"/>
      <c r="AH17" s="393"/>
      <c r="AI17" s="393"/>
      <c r="AJ17" s="393"/>
      <c r="AK17" s="98"/>
      <c r="AL17" s="98"/>
      <c r="AM17" s="98"/>
      <c r="AN17" s="98"/>
      <c r="AO17" s="98"/>
      <c r="AP17" s="98"/>
      <c r="AQ17" s="98"/>
      <c r="AR17" s="98"/>
      <c r="AS17" s="105"/>
    </row>
    <row r="18" spans="2:45" ht="12">
      <c r="B18" s="104"/>
      <c r="C18" s="98" t="s">
        <v>38</v>
      </c>
      <c r="D18" s="98"/>
      <c r="E18" s="98"/>
      <c r="F18" s="98"/>
      <c r="G18" s="98"/>
      <c r="H18" s="98"/>
      <c r="I18" s="98"/>
      <c r="J18" s="98"/>
      <c r="K18" s="98"/>
      <c r="L18" s="393"/>
      <c r="M18" s="393"/>
      <c r="N18" s="393"/>
      <c r="O18" s="98"/>
      <c r="P18" s="397"/>
      <c r="Q18" s="398"/>
      <c r="R18" s="398"/>
      <c r="S18" s="398"/>
      <c r="T18" s="398"/>
      <c r="U18" s="399"/>
      <c r="V18" s="393"/>
      <c r="W18" s="393"/>
      <c r="X18" s="393"/>
      <c r="Y18" s="98"/>
      <c r="Z18" s="397"/>
      <c r="AA18" s="398"/>
      <c r="AB18" s="398"/>
      <c r="AC18" s="398"/>
      <c r="AD18" s="398"/>
      <c r="AE18" s="398"/>
      <c r="AF18" s="399"/>
      <c r="AG18" s="98"/>
      <c r="AH18" s="393"/>
      <c r="AI18" s="393"/>
      <c r="AJ18" s="393"/>
      <c r="AK18" s="98"/>
      <c r="AL18" s="397"/>
      <c r="AM18" s="398"/>
      <c r="AN18" s="398"/>
      <c r="AO18" s="398"/>
      <c r="AP18" s="398"/>
      <c r="AQ18" s="398"/>
      <c r="AR18" s="399"/>
      <c r="AS18" s="105"/>
    </row>
    <row r="19" spans="2:45" ht="6" customHeight="1" thickBot="1">
      <c r="B19" s="12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21"/>
    </row>
    <row r="20" spans="2:45" ht="6" customHeight="1">
      <c r="B20" s="104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105"/>
    </row>
    <row r="21" spans="2:45" ht="12">
      <c r="B21" s="104"/>
      <c r="C21" s="98" t="s">
        <v>42</v>
      </c>
      <c r="D21" s="98"/>
      <c r="E21" s="98" t="s">
        <v>43</v>
      </c>
      <c r="F21" s="98"/>
      <c r="G21" s="98"/>
      <c r="H21" s="98"/>
      <c r="I21" s="98"/>
      <c r="J21" s="98"/>
      <c r="K21" s="98"/>
      <c r="L21" s="112"/>
      <c r="M21" s="112"/>
      <c r="N21" s="112"/>
      <c r="O21" s="112" t="s">
        <v>44</v>
      </c>
      <c r="P21" s="112"/>
      <c r="Q21" s="112"/>
      <c r="R21" s="112"/>
      <c r="S21" s="112"/>
      <c r="T21" s="112" t="s">
        <v>45</v>
      </c>
      <c r="U21" s="112"/>
      <c r="V21" s="112"/>
      <c r="W21" s="112"/>
      <c r="X21" s="112" t="s">
        <v>78</v>
      </c>
      <c r="Y21" s="112"/>
      <c r="Z21" s="112"/>
      <c r="AA21" s="112"/>
      <c r="AB21" s="112"/>
      <c r="AC21" s="112"/>
      <c r="AD21" s="112" t="s">
        <v>46</v>
      </c>
      <c r="AE21" s="112"/>
      <c r="AF21" s="112"/>
      <c r="AG21" s="112"/>
      <c r="AH21" s="112"/>
      <c r="AI21" s="112"/>
      <c r="AJ21" s="112" t="s">
        <v>47</v>
      </c>
      <c r="AK21" s="112"/>
      <c r="AL21" s="112"/>
      <c r="AM21" s="112"/>
      <c r="AN21" s="112"/>
      <c r="AO21" s="112" t="s">
        <v>79</v>
      </c>
      <c r="AP21" s="112"/>
      <c r="AQ21" s="112"/>
      <c r="AR21" s="112"/>
      <c r="AS21" s="105"/>
    </row>
    <row r="22" spans="2:45" ht="12.75" customHeight="1">
      <c r="B22" s="104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393" t="s">
        <v>87</v>
      </c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105"/>
    </row>
    <row r="23" spans="2:45" ht="3.75" customHeight="1" thickBot="1">
      <c r="B23" s="12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21"/>
    </row>
    <row r="24" spans="2:45" ht="6.75" customHeight="1">
      <c r="B24" s="104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105"/>
    </row>
    <row r="25" spans="2:45" ht="15.75" customHeight="1">
      <c r="B25" s="104"/>
      <c r="C25" s="98">
        <v>1</v>
      </c>
      <c r="D25" s="98"/>
      <c r="E25" s="98" t="s">
        <v>48</v>
      </c>
      <c r="F25" s="98"/>
      <c r="G25" s="98"/>
      <c r="H25" s="98"/>
      <c r="I25" s="98"/>
      <c r="J25" s="98"/>
      <c r="K25" s="98"/>
      <c r="L25" s="98"/>
      <c r="M25" s="98"/>
      <c r="N25" s="98"/>
      <c r="O25" s="381"/>
      <c r="P25" s="382"/>
      <c r="Q25" s="383"/>
      <c r="R25" s="118"/>
      <c r="S25" s="118"/>
      <c r="T25" s="118"/>
      <c r="U25" s="118"/>
      <c r="V25" s="118"/>
      <c r="W25" s="118"/>
      <c r="X25" s="381"/>
      <c r="Y25" s="382"/>
      <c r="Z25" s="382"/>
      <c r="AA25" s="383"/>
      <c r="AB25" s="118"/>
      <c r="AC25" s="118"/>
      <c r="AD25" s="381"/>
      <c r="AE25" s="382"/>
      <c r="AF25" s="382"/>
      <c r="AG25" s="383"/>
      <c r="AH25" s="118"/>
      <c r="AI25" s="118"/>
      <c r="AJ25" s="118"/>
      <c r="AK25" s="118"/>
      <c r="AL25" s="118"/>
      <c r="AM25" s="118"/>
      <c r="AN25" s="118"/>
      <c r="AO25" s="394">
        <f>AD25+X25+O25</f>
        <v>0</v>
      </c>
      <c r="AP25" s="395"/>
      <c r="AQ25" s="395"/>
      <c r="AR25" s="396"/>
      <c r="AS25" s="105"/>
    </row>
    <row r="26" spans="2:45" ht="6" customHeight="1">
      <c r="B26" s="104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9"/>
      <c r="AP26" s="119"/>
      <c r="AQ26" s="119"/>
      <c r="AR26" s="119"/>
      <c r="AS26" s="105"/>
    </row>
    <row r="27" spans="2:45" ht="16.5" customHeight="1">
      <c r="B27" s="104"/>
      <c r="C27" s="98">
        <v>2</v>
      </c>
      <c r="D27" s="98"/>
      <c r="E27" s="98" t="s">
        <v>101</v>
      </c>
      <c r="F27" s="98"/>
      <c r="G27" s="98"/>
      <c r="H27" s="98"/>
      <c r="I27" s="98"/>
      <c r="J27" s="98"/>
      <c r="K27" s="98"/>
      <c r="L27" s="98"/>
      <c r="M27" s="98"/>
      <c r="N27" s="98"/>
      <c r="O27" s="381"/>
      <c r="P27" s="382"/>
      <c r="Q27" s="383"/>
      <c r="R27" s="118"/>
      <c r="S27" s="118"/>
      <c r="T27" s="118"/>
      <c r="U27" s="118"/>
      <c r="V27" s="118"/>
      <c r="W27" s="118"/>
      <c r="X27" s="381"/>
      <c r="Y27" s="382"/>
      <c r="Z27" s="382"/>
      <c r="AA27" s="383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401">
        <f>X27+O27</f>
        <v>0</v>
      </c>
      <c r="AP27" s="401"/>
      <c r="AQ27" s="401"/>
      <c r="AR27" s="401"/>
      <c r="AS27" s="105"/>
    </row>
    <row r="28" spans="2:45" ht="5.25" customHeight="1">
      <c r="B28" s="104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9"/>
      <c r="AP28" s="119"/>
      <c r="AQ28" s="119"/>
      <c r="AR28" s="119"/>
      <c r="AS28" s="105"/>
    </row>
    <row r="29" spans="2:45" ht="17.25" customHeight="1">
      <c r="B29" s="104"/>
      <c r="C29" s="98">
        <v>3</v>
      </c>
      <c r="D29" s="98"/>
      <c r="E29" s="98" t="s">
        <v>49</v>
      </c>
      <c r="F29" s="98"/>
      <c r="G29" s="98"/>
      <c r="H29" s="98"/>
      <c r="I29" s="98"/>
      <c r="J29" s="98"/>
      <c r="K29" s="98"/>
      <c r="L29" s="98"/>
      <c r="M29" s="98"/>
      <c r="N29" s="98"/>
      <c r="O29" s="118"/>
      <c r="P29" s="118"/>
      <c r="Q29" s="118"/>
      <c r="R29" s="118"/>
      <c r="S29" s="118"/>
      <c r="T29" s="381"/>
      <c r="U29" s="382"/>
      <c r="V29" s="383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381"/>
      <c r="AK29" s="382"/>
      <c r="AL29" s="382"/>
      <c r="AM29" s="383"/>
      <c r="AN29" s="118"/>
      <c r="AO29" s="394">
        <f>AJ29+T29</f>
        <v>0</v>
      </c>
      <c r="AP29" s="395"/>
      <c r="AQ29" s="395"/>
      <c r="AR29" s="396"/>
      <c r="AS29" s="105"/>
    </row>
    <row r="30" spans="2:45" ht="5.25" customHeight="1">
      <c r="B30" s="104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9"/>
      <c r="AP30" s="119"/>
      <c r="AQ30" s="119"/>
      <c r="AR30" s="119"/>
      <c r="AS30" s="105"/>
    </row>
    <row r="31" spans="2:45" ht="17.25" customHeight="1">
      <c r="B31" s="104"/>
      <c r="C31" s="98">
        <v>4</v>
      </c>
      <c r="D31" s="98"/>
      <c r="E31" s="98" t="s">
        <v>50</v>
      </c>
      <c r="F31" s="98"/>
      <c r="G31" s="98"/>
      <c r="H31" s="98"/>
      <c r="I31" s="98"/>
      <c r="J31" s="98"/>
      <c r="K31" s="98"/>
      <c r="L31" s="98"/>
      <c r="M31" s="98"/>
      <c r="N31" s="98"/>
      <c r="O31" s="118"/>
      <c r="P31" s="118"/>
      <c r="Q31" s="118"/>
      <c r="R31" s="118"/>
      <c r="S31" s="118"/>
      <c r="T31" s="381"/>
      <c r="U31" s="382"/>
      <c r="V31" s="383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381"/>
      <c r="AK31" s="382"/>
      <c r="AL31" s="382"/>
      <c r="AM31" s="383"/>
      <c r="AN31" s="118"/>
      <c r="AO31" s="394">
        <f>AJ31+T31</f>
        <v>0</v>
      </c>
      <c r="AP31" s="395"/>
      <c r="AQ31" s="395"/>
      <c r="AR31" s="396"/>
      <c r="AS31" s="105"/>
    </row>
    <row r="32" spans="2:45" ht="5.25" customHeight="1">
      <c r="B32" s="104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9"/>
      <c r="AP32" s="119"/>
      <c r="AQ32" s="119"/>
      <c r="AR32" s="119"/>
      <c r="AS32" s="105"/>
    </row>
    <row r="33" spans="2:45" ht="15.75" customHeight="1">
      <c r="B33" s="104"/>
      <c r="C33" s="98">
        <v>5</v>
      </c>
      <c r="D33" s="98"/>
      <c r="E33" s="98" t="s">
        <v>51</v>
      </c>
      <c r="F33" s="98"/>
      <c r="G33" s="98"/>
      <c r="H33" s="98"/>
      <c r="I33" s="98"/>
      <c r="J33" s="98"/>
      <c r="K33" s="98"/>
      <c r="L33" s="98"/>
      <c r="M33" s="98"/>
      <c r="N33" s="98"/>
      <c r="O33" s="381">
        <v>129</v>
      </c>
      <c r="P33" s="382"/>
      <c r="Q33" s="383"/>
      <c r="R33" s="118"/>
      <c r="S33" s="118"/>
      <c r="T33" s="381">
        <v>4</v>
      </c>
      <c r="U33" s="382"/>
      <c r="V33" s="383"/>
      <c r="W33" s="118"/>
      <c r="X33" s="381">
        <v>8</v>
      </c>
      <c r="Y33" s="382"/>
      <c r="Z33" s="382"/>
      <c r="AA33" s="383"/>
      <c r="AB33" s="118"/>
      <c r="AC33" s="118"/>
      <c r="AD33" s="381">
        <v>69</v>
      </c>
      <c r="AE33" s="382"/>
      <c r="AF33" s="382"/>
      <c r="AG33" s="383"/>
      <c r="AH33" s="118"/>
      <c r="AI33" s="118"/>
      <c r="AJ33" s="381">
        <v>0</v>
      </c>
      <c r="AK33" s="382"/>
      <c r="AL33" s="382"/>
      <c r="AM33" s="383"/>
      <c r="AN33" s="118"/>
      <c r="AO33" s="394">
        <f>AJ33+AD33+X33+T33+O33</f>
        <v>210</v>
      </c>
      <c r="AP33" s="395"/>
      <c r="AQ33" s="395"/>
      <c r="AR33" s="396"/>
      <c r="AS33" s="105"/>
    </row>
    <row r="34" spans="2:45" ht="3.75" customHeight="1">
      <c r="B34" s="104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9"/>
      <c r="AP34" s="119"/>
      <c r="AQ34" s="119"/>
      <c r="AR34" s="119"/>
      <c r="AS34" s="105"/>
    </row>
    <row r="35" spans="2:45" ht="15.75" customHeight="1">
      <c r="B35" s="104"/>
      <c r="C35" s="98">
        <v>6</v>
      </c>
      <c r="D35" s="98"/>
      <c r="E35" s="98" t="s">
        <v>52</v>
      </c>
      <c r="F35" s="98"/>
      <c r="G35" s="98"/>
      <c r="H35" s="98"/>
      <c r="I35" s="98"/>
      <c r="J35" s="98"/>
      <c r="K35" s="98"/>
      <c r="L35" s="98"/>
      <c r="M35" s="98"/>
      <c r="N35" s="98"/>
      <c r="O35" s="381"/>
      <c r="P35" s="382"/>
      <c r="Q35" s="383"/>
      <c r="R35" s="118"/>
      <c r="S35" s="118"/>
      <c r="T35" s="381"/>
      <c r="U35" s="382"/>
      <c r="V35" s="383"/>
      <c r="W35" s="118"/>
      <c r="X35" s="381"/>
      <c r="Y35" s="382"/>
      <c r="Z35" s="382"/>
      <c r="AA35" s="383"/>
      <c r="AB35" s="118"/>
      <c r="AC35" s="118"/>
      <c r="AD35" s="381"/>
      <c r="AE35" s="382"/>
      <c r="AF35" s="382"/>
      <c r="AG35" s="383"/>
      <c r="AH35" s="118"/>
      <c r="AI35" s="118"/>
      <c r="AJ35" s="381">
        <v>0</v>
      </c>
      <c r="AK35" s="382"/>
      <c r="AL35" s="382"/>
      <c r="AM35" s="383"/>
      <c r="AN35" s="118"/>
      <c r="AO35" s="394">
        <f>AJ35+AD35+X35+T35+O35</f>
        <v>0</v>
      </c>
      <c r="AP35" s="395"/>
      <c r="AQ35" s="395"/>
      <c r="AR35" s="396"/>
      <c r="AS35" s="105"/>
    </row>
    <row r="36" spans="2:45" ht="12">
      <c r="B36" s="104"/>
      <c r="C36" s="98"/>
      <c r="D36" s="98"/>
      <c r="E36" s="98" t="s">
        <v>53</v>
      </c>
      <c r="F36" s="98"/>
      <c r="G36" s="98"/>
      <c r="H36" s="98"/>
      <c r="I36" s="98"/>
      <c r="J36" s="98"/>
      <c r="K36" s="98"/>
      <c r="L36" s="98"/>
      <c r="M36" s="98"/>
      <c r="N36" s="9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9"/>
      <c r="AP36" s="119"/>
      <c r="AQ36" s="119"/>
      <c r="AR36" s="119"/>
      <c r="AS36" s="105"/>
    </row>
    <row r="37" spans="2:45" ht="3" customHeight="1">
      <c r="B37" s="104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9"/>
      <c r="AP37" s="119"/>
      <c r="AQ37" s="119"/>
      <c r="AR37" s="119"/>
      <c r="AS37" s="105"/>
    </row>
    <row r="38" spans="2:45" ht="17.25" customHeight="1">
      <c r="B38" s="104"/>
      <c r="C38" s="98"/>
      <c r="D38" s="98"/>
      <c r="E38" s="98"/>
      <c r="F38" s="98"/>
      <c r="G38" s="98"/>
      <c r="H38" s="98"/>
      <c r="I38" s="98" t="s">
        <v>6</v>
      </c>
      <c r="J38" s="98"/>
      <c r="K38" s="98"/>
      <c r="L38" s="98"/>
      <c r="M38" s="98"/>
      <c r="N38" s="98"/>
      <c r="O38" s="381">
        <f>O27+O25+O33+O35</f>
        <v>129</v>
      </c>
      <c r="P38" s="382"/>
      <c r="Q38" s="383"/>
      <c r="R38" s="118"/>
      <c r="S38" s="118"/>
      <c r="T38" s="381">
        <f>T29+T31+T33+T35</f>
        <v>4</v>
      </c>
      <c r="U38" s="382"/>
      <c r="V38" s="383"/>
      <c r="W38" s="118"/>
      <c r="X38" s="381">
        <f>X25+X27+X33+X35</f>
        <v>8</v>
      </c>
      <c r="Y38" s="382"/>
      <c r="Z38" s="382"/>
      <c r="AA38" s="383"/>
      <c r="AB38" s="118"/>
      <c r="AC38" s="118"/>
      <c r="AD38" s="381">
        <f>AD25+AD33+AD35</f>
        <v>69</v>
      </c>
      <c r="AE38" s="382"/>
      <c r="AF38" s="382"/>
      <c r="AG38" s="383"/>
      <c r="AH38" s="118"/>
      <c r="AI38" s="118"/>
      <c r="AJ38" s="381">
        <f>AJ29+AJ31+AJ33+AJ35</f>
        <v>0</v>
      </c>
      <c r="AK38" s="382"/>
      <c r="AL38" s="382"/>
      <c r="AM38" s="383"/>
      <c r="AN38" s="118"/>
      <c r="AO38" s="394">
        <f>SUM(AO29+AO27+AO25+AO31+AO33+AO35)</f>
        <v>210</v>
      </c>
      <c r="AP38" s="395"/>
      <c r="AQ38" s="395"/>
      <c r="AR38" s="396"/>
      <c r="AS38" s="105"/>
    </row>
    <row r="39" spans="2:45" ht="6" customHeight="1">
      <c r="B39" s="104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105"/>
    </row>
    <row r="40" spans="2:45" ht="12">
      <c r="B40" s="104"/>
      <c r="C40" s="98"/>
      <c r="D40" s="98"/>
      <c r="E40" s="98"/>
      <c r="F40" s="98"/>
      <c r="G40" s="98"/>
      <c r="H40" s="98"/>
      <c r="I40" s="98"/>
      <c r="K40" s="98"/>
      <c r="L40" s="98"/>
      <c r="M40" s="98"/>
      <c r="N40" s="114" t="s">
        <v>88</v>
      </c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105"/>
    </row>
    <row r="41" spans="2:45" ht="3.75" customHeight="1">
      <c r="B41" s="104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105"/>
    </row>
    <row r="42" spans="2:45" ht="12">
      <c r="B42" s="104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106" t="s">
        <v>56</v>
      </c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105"/>
    </row>
    <row r="43" spans="2:45" ht="3.75" customHeight="1">
      <c r="B43" s="104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105"/>
    </row>
    <row r="44" spans="2:45" ht="12">
      <c r="B44" s="104"/>
      <c r="C44" s="98" t="s">
        <v>297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 t="s">
        <v>61</v>
      </c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105"/>
    </row>
    <row r="45" spans="2:45" ht="12">
      <c r="B45" s="104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 t="s">
        <v>66</v>
      </c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105"/>
    </row>
    <row r="46" spans="2:45" ht="12">
      <c r="B46" s="104"/>
      <c r="C46" s="98" t="s">
        <v>86</v>
      </c>
      <c r="D46" s="98"/>
      <c r="E46" s="98"/>
      <c r="F46" s="98"/>
      <c r="G46" s="98"/>
      <c r="H46" s="98"/>
      <c r="I46" s="98"/>
      <c r="J46" s="98"/>
      <c r="K46" s="98"/>
      <c r="L46" s="98"/>
      <c r="M46" s="106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 t="s">
        <v>62</v>
      </c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105"/>
    </row>
    <row r="47" spans="2:45" ht="12">
      <c r="B47" s="104"/>
      <c r="C47" s="98"/>
      <c r="D47" s="98"/>
      <c r="E47" s="98"/>
      <c r="F47" s="98"/>
      <c r="G47" s="98"/>
      <c r="H47" s="98"/>
      <c r="J47" s="98"/>
      <c r="K47" s="98"/>
      <c r="L47" s="98"/>
      <c r="M47" s="106" t="s">
        <v>54</v>
      </c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 t="s">
        <v>63</v>
      </c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105"/>
    </row>
    <row r="48" spans="2:45" ht="15" customHeight="1">
      <c r="B48" s="104"/>
      <c r="C48" s="122" t="s">
        <v>59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 t="s">
        <v>64</v>
      </c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105"/>
    </row>
    <row r="49" spans="2:45" ht="12">
      <c r="B49" s="104"/>
      <c r="C49" s="98" t="s">
        <v>60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 t="s">
        <v>65</v>
      </c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105"/>
    </row>
    <row r="50" spans="2:45" ht="12">
      <c r="B50" s="104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105"/>
    </row>
    <row r="51" spans="2:45" ht="12.75" customHeight="1">
      <c r="B51" s="104"/>
      <c r="C51" s="360" t="s">
        <v>55</v>
      </c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105"/>
    </row>
    <row r="52" spans="2:45" ht="9" customHeight="1">
      <c r="B52" s="104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105"/>
    </row>
    <row r="53" spans="2:45" ht="12">
      <c r="B53" s="104"/>
      <c r="C53" s="391" t="s">
        <v>98</v>
      </c>
      <c r="D53" s="391"/>
      <c r="E53" s="391"/>
      <c r="F53" s="391"/>
      <c r="G53" s="391"/>
      <c r="H53" s="391"/>
      <c r="I53" s="391"/>
      <c r="J53" s="391"/>
      <c r="K53" s="106">
        <f>VLOOKUP($H$2,'PF-DATA'!$A$3:$AM$15,18,0)</f>
        <v>0</v>
      </c>
      <c r="L53" s="98"/>
      <c r="M53" s="98"/>
      <c r="N53" s="98"/>
      <c r="O53" s="98"/>
      <c r="P53" s="98"/>
      <c r="Q53" s="98"/>
      <c r="R53" s="98"/>
      <c r="S53" s="132" t="s">
        <v>97</v>
      </c>
      <c r="T53" s="98"/>
      <c r="U53" s="98" t="s">
        <v>94</v>
      </c>
      <c r="V53" s="98"/>
      <c r="W53" s="98"/>
      <c r="X53" s="98"/>
      <c r="Y53" s="106"/>
      <c r="AA53" s="98"/>
      <c r="AB53" s="132" t="s">
        <v>96</v>
      </c>
      <c r="AD53" s="98"/>
      <c r="AE53" s="98"/>
      <c r="AF53" s="98"/>
      <c r="AI53" s="98" t="s">
        <v>95</v>
      </c>
      <c r="AJ53" s="98"/>
      <c r="AK53" s="98"/>
      <c r="AL53" s="387"/>
      <c r="AM53" s="387"/>
      <c r="AN53" s="387"/>
      <c r="AO53" s="387"/>
      <c r="AP53" s="387"/>
      <c r="AQ53" s="387"/>
      <c r="AR53" s="98"/>
      <c r="AS53" s="105"/>
    </row>
    <row r="54" spans="2:45" ht="12.75" thickBot="1"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</row>
    <row r="55" ht="12.75" thickTop="1"/>
    <row r="57" spans="3:44" ht="12">
      <c r="C57" s="473" t="s">
        <v>93</v>
      </c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  <c r="AE57" s="473"/>
      <c r="AF57" s="473"/>
      <c r="AG57" s="473"/>
      <c r="AH57" s="473"/>
      <c r="AI57" s="473"/>
      <c r="AJ57" s="473"/>
      <c r="AK57" s="473"/>
      <c r="AL57" s="473"/>
      <c r="AM57" s="473"/>
      <c r="AN57" s="473"/>
      <c r="AO57" s="473"/>
      <c r="AP57" s="473"/>
      <c r="AQ57" s="473"/>
      <c r="AR57" s="473"/>
    </row>
  </sheetData>
  <mergeCells count="67">
    <mergeCell ref="C9:AR9"/>
    <mergeCell ref="H2:I2"/>
    <mergeCell ref="C5:AR5"/>
    <mergeCell ref="C6:AR6"/>
    <mergeCell ref="C7:AR7"/>
    <mergeCell ref="C8:AR8"/>
    <mergeCell ref="C10:AR10"/>
    <mergeCell ref="C12:J14"/>
    <mergeCell ref="AC12:AD12"/>
    <mergeCell ref="AE12:AF12"/>
    <mergeCell ref="AI12:AJ12"/>
    <mergeCell ref="AK12:AL12"/>
    <mergeCell ref="AO12:AP12"/>
    <mergeCell ref="AQ12:AR12"/>
    <mergeCell ref="V13:AB14"/>
    <mergeCell ref="AC13:AF13"/>
    <mergeCell ref="AI13:AL13"/>
    <mergeCell ref="AO13:AR13"/>
    <mergeCell ref="AC14:AF14"/>
    <mergeCell ref="AI14:AL14"/>
    <mergeCell ref="AO14:AR14"/>
    <mergeCell ref="L16:N18"/>
    <mergeCell ref="P16:U16"/>
    <mergeCell ref="V16:X18"/>
    <mergeCell ref="Z16:AF16"/>
    <mergeCell ref="AH16:AJ18"/>
    <mergeCell ref="AL16:AR16"/>
    <mergeCell ref="P18:U18"/>
    <mergeCell ref="Z18:AF18"/>
    <mergeCell ref="AL18:AR18"/>
    <mergeCell ref="N22:AR22"/>
    <mergeCell ref="O25:Q25"/>
    <mergeCell ref="X25:AA25"/>
    <mergeCell ref="AD25:AG25"/>
    <mergeCell ref="AO25:AR25"/>
    <mergeCell ref="O27:Q27"/>
    <mergeCell ref="X27:AA27"/>
    <mergeCell ref="AO27:AR27"/>
    <mergeCell ref="T29:V29"/>
    <mergeCell ref="AJ29:AM29"/>
    <mergeCell ref="AO29:AR29"/>
    <mergeCell ref="AO31:AR31"/>
    <mergeCell ref="O33:Q33"/>
    <mergeCell ref="T33:V33"/>
    <mergeCell ref="X33:AA33"/>
    <mergeCell ref="AD33:AG33"/>
    <mergeCell ref="AJ33:AM33"/>
    <mergeCell ref="AO33:AR33"/>
    <mergeCell ref="AD35:AG35"/>
    <mergeCell ref="T31:V31"/>
    <mergeCell ref="AJ31:AM31"/>
    <mergeCell ref="AJ35:AM35"/>
    <mergeCell ref="AO35:AR35"/>
    <mergeCell ref="O38:Q38"/>
    <mergeCell ref="T38:V38"/>
    <mergeCell ref="X38:AA38"/>
    <mergeCell ref="AD38:AG38"/>
    <mergeCell ref="AJ38:AM38"/>
    <mergeCell ref="AO38:AR38"/>
    <mergeCell ref="O35:Q35"/>
    <mergeCell ref="T35:V35"/>
    <mergeCell ref="X35:AA35"/>
    <mergeCell ref="C57:AR57"/>
    <mergeCell ref="O40:AR40"/>
    <mergeCell ref="C51:AR51"/>
    <mergeCell ref="C53:J53"/>
    <mergeCell ref="AL53:AQ53"/>
  </mergeCells>
  <printOptions/>
  <pageMargins left="0.75" right="0.75" top="0.35" bottom="0.46" header="0.32" footer="0.41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Chander</cp:lastModifiedBy>
  <cp:lastPrinted>2010-02-17T12:26:22Z</cp:lastPrinted>
  <dcterms:created xsi:type="dcterms:W3CDTF">2009-04-15T11:47:48Z</dcterms:created>
  <dcterms:modified xsi:type="dcterms:W3CDTF">2010-07-21T05:48:47Z</dcterms:modified>
  <cp:category/>
  <cp:version/>
  <cp:contentType/>
  <cp:contentStatus/>
</cp:coreProperties>
</file>