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0" yWindow="225" windowWidth="6720" windowHeight="3870" activeTab="7"/>
  </bookViews>
  <sheets>
    <sheet name="Paysheet" sheetId="1" r:id="rId1"/>
    <sheet name="Payslip" sheetId="2" r:id="rId2"/>
    <sheet name="Salary Control" sheetId="3" r:id="rId3"/>
    <sheet name="TOTAL" sheetId="4" r:id="rId4"/>
    <sheet name="Abstarct" sheetId="5" r:id="rId5"/>
    <sheet name=" BANK" sheetId="6" r:id="rId6"/>
    <sheet name="Company Letter Pad Bank Stateme" sheetId="7" r:id="rId7"/>
    <sheet name=" Cash" sheetId="8" r:id="rId8"/>
    <sheet name="non-pf" sheetId="9" state="hidden" r:id="rId9"/>
    <sheet name="1" sheetId="10" state="hidden" r:id="rId10"/>
    <sheet name="2" sheetId="11" state="hidden" r:id="rId11"/>
    <sheet name="abs" sheetId="12" state="hidden" r:id="rId12"/>
  </sheets>
  <definedNames>
    <definedName name="_xlnm._FilterDatabase" localSheetId="5" hidden="1">' BANK'!$A$5:$R$13</definedName>
    <definedName name="_xlnm._FilterDatabase" localSheetId="7" hidden="1">' Cash'!$A$5:$C$5</definedName>
    <definedName name="_xlnm._FilterDatabase" localSheetId="0" hidden="1">'Paysheet'!$A$4:$AI$14</definedName>
    <definedName name="_xlnm.Print_Area" localSheetId="5">' BANK'!$A$1:$D$11</definedName>
    <definedName name="_xlnm.Print_Area" localSheetId="7">' Cash'!$A$1:$C$10</definedName>
    <definedName name="_xlnm.Print_Area" localSheetId="4">'Abstarct'!$A$1:$H$14</definedName>
    <definedName name="_xlnm.Print_Area" localSheetId="6">'Company Letter Pad Bank Stateme'!$A$1:$E$35</definedName>
    <definedName name="_xlnm.Print_Area" localSheetId="0">'Paysheet'!$A$1:$AD$18</definedName>
    <definedName name="_xlnm.Print_Area" localSheetId="1">'Payslip'!$A$1:$E$61</definedName>
    <definedName name="_xlnm.Print_Area" localSheetId="2">'Salary Control'!$A$1:$J$47</definedName>
    <definedName name="_xlnm.Print_Area" localSheetId="3">'TOTAL'!$A$1:$E$37</definedName>
    <definedName name="_xlnm.Print_Titles" localSheetId="5">' BANK'!$1:$5</definedName>
    <definedName name="_xlnm.Print_Titles" localSheetId="7">' Cash'!$1:$5</definedName>
    <definedName name="Z_0577B3A0_2295_11D5_B3AD_00C0262EE103_.wvu.Cols" localSheetId="5" hidden="1">' BANK'!#REF!,' BANK'!#REF!,' BANK'!#REF!</definedName>
    <definedName name="Z_0577B3A0_2295_11D5_B3AD_00C0262EE103_.wvu.Cols" localSheetId="7" hidden="1">' Cash'!#REF!,' Cash'!#REF!,' Cash'!#REF!</definedName>
    <definedName name="Z_0577B3A0_2295_11D5_B3AD_00C0262EE103_.wvu.Cols" localSheetId="0" hidden="1">'Paysheet'!#REF!,'Paysheet'!#REF!</definedName>
    <definedName name="Z_0577B3A0_2295_11D5_B3AD_00C0262EE103_.wvu.PrintArea" localSheetId="3" hidden="1">'TOTAL'!$A$1:$E$31</definedName>
    <definedName name="Z_0577B3A0_2295_11D5_B3AD_00C0262EE103_.wvu.PrintTitles" localSheetId="5" hidden="1">' BANK'!#REF!</definedName>
    <definedName name="Z_0577B3A0_2295_11D5_B3AD_00C0262EE103_.wvu.PrintTitles" localSheetId="7" hidden="1">' Cash'!#REF!</definedName>
    <definedName name="Z_0EBC006A_04D4_4EC7_B96F_9BE15C37613C_.wvu.Cols" localSheetId="5" hidden="1">' BANK'!#REF!,' BANK'!#REF!</definedName>
    <definedName name="Z_0EBC006A_04D4_4EC7_B96F_9BE15C37613C_.wvu.Cols" localSheetId="7" hidden="1">' Cash'!#REF!,' Cash'!#REF!</definedName>
    <definedName name="Z_0EBC006A_04D4_4EC7_B96F_9BE15C37613C_.wvu.Cols" localSheetId="0" hidden="1">'Paysheet'!#REF!,'Paysheet'!#REF!,'Paysheet'!#REF!</definedName>
    <definedName name="Z_0EBC006A_04D4_4EC7_B96F_9BE15C37613C_.wvu.Cols" localSheetId="3" hidden="1">'TOTAL'!$D:$D</definedName>
    <definedName name="Z_0EBC006A_04D4_4EC7_B96F_9BE15C37613C_.wvu.PrintArea" localSheetId="5" hidden="1">' BANK'!$A$5:$D$6</definedName>
    <definedName name="Z_0EBC006A_04D4_4EC7_B96F_9BE15C37613C_.wvu.PrintArea" localSheetId="7" hidden="1">' Cash'!$A$5:$C$6</definedName>
    <definedName name="Z_0EBC006A_04D4_4EC7_B96F_9BE15C37613C_.wvu.PrintArea" localSheetId="0" hidden="1">'Paysheet'!$A$1:$X$14</definedName>
    <definedName name="Z_0EBC006A_04D4_4EC7_B96F_9BE15C37613C_.wvu.PrintArea" localSheetId="3" hidden="1">'TOTAL'!$B$15:$E$28</definedName>
    <definedName name="Z_0EBC006A_04D4_4EC7_B96F_9BE15C37613C_.wvu.PrintTitles" localSheetId="5" hidden="1">' BANK'!#REF!</definedName>
    <definedName name="Z_0EBC006A_04D4_4EC7_B96F_9BE15C37613C_.wvu.PrintTitles" localSheetId="7" hidden="1">' Cash'!#REF!</definedName>
    <definedName name="Z_851974E1_2C67_11D6_AD48_00C126020E68_.wvu.Cols" localSheetId="5" hidden="1">' BANK'!#REF!,' BANK'!#REF!</definedName>
    <definedName name="Z_851974E1_2C67_11D6_AD48_00C126020E68_.wvu.Cols" localSheetId="7" hidden="1">' Cash'!#REF!,' Cash'!#REF!</definedName>
    <definedName name="Z_851974E1_2C67_11D6_AD48_00C126020E68_.wvu.Cols" localSheetId="0" hidden="1">'Paysheet'!#REF!</definedName>
    <definedName name="Z_851974E1_2C67_11D6_AD48_00C126020E68_.wvu.Cols" localSheetId="3" hidden="1">'TOTAL'!#REF!</definedName>
    <definedName name="Z_851974E1_2C67_11D6_AD48_00C126020E68_.wvu.PrintArea" localSheetId="0" hidden="1">'Paysheet'!$A:$XFD</definedName>
    <definedName name="Z_851974E1_2C67_11D6_AD48_00C126020E68_.wvu.Rows" localSheetId="10" hidden="1">'2'!$153:$224,'2'!$260:$298</definedName>
    <definedName name="Z_ED5C67A0_0A0D_11D5_A7C7_008048C7E06D_.wvu.PrintArea" localSheetId="5" hidden="1">' BANK'!$A$5:$D$11</definedName>
    <definedName name="Z_ED5C67A0_0A0D_11D5_A7C7_008048C7E06D_.wvu.PrintArea" localSheetId="7" hidden="1">' Cash'!$A$5:$C$10</definedName>
    <definedName name="Z_ED5C67A0_0A0D_11D5_A7C7_008048C7E06D_.wvu.PrintArea" localSheetId="10" hidden="1">'2'!$A:$XFD</definedName>
    <definedName name="Z_ED5C67A0_0A0D_11D5_A7C7_008048C7E06D_.wvu.PrintArea" localSheetId="11" hidden="1">'abs'!#REF!</definedName>
    <definedName name="Z_ED5C67A0_0A0D_11D5_A7C7_008048C7E06D_.wvu.PrintArea" localSheetId="0" hidden="1">'Paysheet'!$A$1:$X$14</definedName>
    <definedName name="Z_ED5C67A0_0A0D_11D5_A7C7_008048C7E06D_.wvu.Rows" localSheetId="11" hidden="1">'abs'!$48:$77</definedName>
    <definedName name="Z_FBAA22C1_2B69_11D6_9D70_00C1260205F1_.wvu.Cols" localSheetId="5" hidden="1">' BANK'!#REF!,' BANK'!#REF!,' BANK'!#REF!</definedName>
    <definedName name="Z_FBAA22C1_2B69_11D6_9D70_00C1260205F1_.wvu.Cols" localSheetId="7" hidden="1">' Cash'!#REF!,' Cash'!#REF!,' Cash'!#REF!</definedName>
    <definedName name="Z_FBAA22C1_2B69_11D6_9D70_00C1260205F1_.wvu.Cols" localSheetId="0" hidden="1">'Paysheet'!#REF!</definedName>
    <definedName name="Z_FBAA22C1_2B69_11D6_9D70_00C1260205F1_.wvu.Cols" localSheetId="3" hidden="1">'TOTAL'!#REF!</definedName>
  </definedNames>
  <calcPr fullCalcOnLoad="1"/>
</workbook>
</file>

<file path=xl/sharedStrings.xml><?xml version="1.0" encoding="utf-8"?>
<sst xmlns="http://schemas.openxmlformats.org/spreadsheetml/2006/main" count="290" uniqueCount="173">
  <si>
    <r>
      <t xml:space="preserve">We are enclosing herewith our Cheque No.                    Dt.           for </t>
    </r>
    <r>
      <rPr>
        <b/>
        <sz val="12"/>
        <rFont val="Arial"/>
        <family val="2"/>
      </rPr>
      <t>Rs.63769/-</t>
    </r>
  </si>
  <si>
    <t>NAME OF THE LOCATION</t>
  </si>
  <si>
    <t xml:space="preserve">Total Salary </t>
  </si>
  <si>
    <t>As per Previous Month Total Salary</t>
  </si>
  <si>
    <t>As per Current Month Increment:</t>
  </si>
  <si>
    <t>Rs.</t>
  </si>
  <si>
    <t>HJHGFJ</t>
  </si>
  <si>
    <t>JKHFGY</t>
  </si>
  <si>
    <t>As per Previous year:</t>
  </si>
  <si>
    <t>As on Current Month:</t>
  </si>
  <si>
    <t>SALARY FOR THE MONTH OF XXXXXXXXX</t>
  </si>
  <si>
    <t>SALARY SUMMARY - Month/year</t>
  </si>
  <si>
    <t>As per Paysheet</t>
  </si>
  <si>
    <t>Salary</t>
  </si>
  <si>
    <t>Employees</t>
  </si>
  <si>
    <t>PAY SLIP FOR THE XXXXXXXXX 2008</t>
  </si>
  <si>
    <t>ADDRESS</t>
  </si>
  <si>
    <t>LOGO</t>
  </si>
  <si>
    <t xml:space="preserve"> Indicates Manual Entry</t>
  </si>
  <si>
    <t>Designation</t>
  </si>
  <si>
    <t>SITE</t>
  </si>
  <si>
    <t>D A</t>
  </si>
  <si>
    <t>HRA</t>
  </si>
  <si>
    <t xml:space="preserve"> </t>
  </si>
  <si>
    <t>HO</t>
  </si>
  <si>
    <t>PF</t>
  </si>
  <si>
    <t>Driver</t>
  </si>
  <si>
    <t>TOTAL</t>
  </si>
  <si>
    <t>NAME</t>
  </si>
  <si>
    <t>AMOUNT</t>
  </si>
  <si>
    <t>DESIGNATION</t>
  </si>
  <si>
    <t>ACCOUNTANT</t>
  </si>
  <si>
    <t>OFFICE BOY</t>
  </si>
  <si>
    <t>HEAD OFFICE</t>
  </si>
  <si>
    <t>NET PAY</t>
  </si>
  <si>
    <t>MGR - ESTIMATION</t>
  </si>
  <si>
    <t>ASST.MGR - ACCOUNTS</t>
  </si>
  <si>
    <t>NO OF EMPL0YEES</t>
  </si>
  <si>
    <t>STAFF LOAN</t>
  </si>
  <si>
    <t>ACCOUNTS ASSISTANT</t>
  </si>
  <si>
    <t>SHIMOGA</t>
  </si>
  <si>
    <t>GARDENER</t>
  </si>
  <si>
    <t>SL.No</t>
  </si>
  <si>
    <t>SALARY ADV</t>
  </si>
  <si>
    <t>LOP DAYS</t>
  </si>
  <si>
    <t>LOP AMOUNT</t>
  </si>
  <si>
    <t>Net Payable</t>
  </si>
  <si>
    <t>T'PHONE RECOVERY</t>
  </si>
  <si>
    <t>Gross Salary</t>
  </si>
  <si>
    <t>S.NO.</t>
  </si>
  <si>
    <t>TOTAL DEDUCTION</t>
  </si>
  <si>
    <t>EMPLOYEE NAME</t>
  </si>
  <si>
    <t>Basic</t>
  </si>
  <si>
    <t>DA</t>
  </si>
  <si>
    <t>Incentives</t>
  </si>
  <si>
    <t>Staff Loans</t>
  </si>
  <si>
    <t>Telephone Recovery</t>
  </si>
  <si>
    <t>Salary Advances</t>
  </si>
  <si>
    <t>Loss of Pay</t>
  </si>
  <si>
    <t>Total Deuction</t>
  </si>
  <si>
    <t>Other Allowances:-</t>
  </si>
  <si>
    <t>Other Earnings:-</t>
  </si>
  <si>
    <t>Deductions:-</t>
  </si>
  <si>
    <t xml:space="preserve">Grand Total </t>
  </si>
  <si>
    <t>As per Total Sheet</t>
  </si>
  <si>
    <t>Total</t>
  </si>
  <si>
    <t>Accounts</t>
  </si>
  <si>
    <t>Marketing</t>
  </si>
  <si>
    <t>Administration</t>
  </si>
  <si>
    <t>PF No.</t>
  </si>
  <si>
    <t>Deletion:</t>
  </si>
  <si>
    <t>Add</t>
  </si>
  <si>
    <t>NET SALARY</t>
  </si>
  <si>
    <t xml:space="preserve">Total </t>
  </si>
  <si>
    <t>Abstract:-</t>
  </si>
  <si>
    <t>Total Salary</t>
  </si>
  <si>
    <t>Control</t>
  </si>
  <si>
    <t>MODE OF PAYMENT</t>
  </si>
  <si>
    <t>Add:</t>
  </si>
  <si>
    <t>(-)</t>
  </si>
  <si>
    <t>(+)</t>
  </si>
  <si>
    <t xml:space="preserve">No.of Staff </t>
  </si>
  <si>
    <t xml:space="preserve">NET PAYABLE </t>
  </si>
  <si>
    <t>Department</t>
  </si>
  <si>
    <t>S. No</t>
  </si>
  <si>
    <t>Difference</t>
  </si>
  <si>
    <t>Engineering</t>
  </si>
  <si>
    <t>TDS</t>
  </si>
  <si>
    <t>LOAN BALANCE</t>
  </si>
  <si>
    <t>Education &amp; Other.Allowance</t>
  </si>
  <si>
    <t>E.A &amp; Other</t>
  </si>
  <si>
    <t>Transport Allowance</t>
  </si>
  <si>
    <t>Employee Name</t>
  </si>
  <si>
    <t>Cash</t>
  </si>
  <si>
    <t>A/c No.</t>
  </si>
  <si>
    <t>CASH PAYMENT</t>
  </si>
  <si>
    <t>BANK PAYMENT</t>
  </si>
  <si>
    <t>TOTAL (B+C)</t>
  </si>
  <si>
    <t>BANK</t>
  </si>
  <si>
    <t>CASH</t>
  </si>
  <si>
    <t>CHEQUE</t>
  </si>
  <si>
    <t>The Associate Vice President (Operations),</t>
  </si>
  <si>
    <t>Dear Sir,</t>
  </si>
  <si>
    <t>Thanking You,</t>
  </si>
  <si>
    <t>Yours faithfully,</t>
  </si>
  <si>
    <t>Sub: Transfer of Funds from Our Current A/c. to Our Employees Savings Bank A/c.</t>
  </si>
  <si>
    <t xml:space="preserve"> Total</t>
  </si>
  <si>
    <t>Ref:  Current A/c. No.</t>
  </si>
  <si>
    <t>Site</t>
  </si>
  <si>
    <t>Name</t>
  </si>
  <si>
    <t xml:space="preserve">D.O.J  </t>
  </si>
  <si>
    <t>Earnings</t>
  </si>
  <si>
    <t>Deductions</t>
  </si>
  <si>
    <t>Loss of Days</t>
  </si>
  <si>
    <t>Loss of Amount</t>
  </si>
  <si>
    <t>House Rent Allowance</t>
  </si>
  <si>
    <t>Provident Fund</t>
  </si>
  <si>
    <t>Staff Loan</t>
  </si>
  <si>
    <t>Educational &amp; Other Allowances</t>
  </si>
  <si>
    <t>Salary Advance</t>
  </si>
  <si>
    <t>Gross</t>
  </si>
  <si>
    <t>Incentive</t>
  </si>
  <si>
    <t>Total Deductions</t>
  </si>
  <si>
    <t>Credited to A/c.</t>
  </si>
  <si>
    <t>Employee Signature</t>
  </si>
  <si>
    <t xml:space="preserve">EPF NO.                </t>
  </si>
  <si>
    <t>Sno.</t>
  </si>
  <si>
    <t>Conveyance Allowances</t>
  </si>
  <si>
    <t>Manager - Internal Aduit</t>
  </si>
  <si>
    <t>L &amp; T ARUN EXCELLO REALTY PVT LTD</t>
  </si>
  <si>
    <t>Planning &amp; Quantity Survey - Engineer</t>
  </si>
  <si>
    <t>Trainee - Marketing Executive</t>
  </si>
  <si>
    <t>AUTHORISED SIGNATORY</t>
  </si>
  <si>
    <t>Manager - Marketing</t>
  </si>
  <si>
    <t>SALARY ABSTRACT - FEBRUARY'2008</t>
  </si>
  <si>
    <t>Total Salary As on Feb'08</t>
  </si>
  <si>
    <t>SITE WISE SALARY FOR THE MONTH OF FEBRUARY 2008</t>
  </si>
  <si>
    <t>Transport Allo</t>
  </si>
  <si>
    <t>29.02.2008</t>
  </si>
  <si>
    <t>From our Current Account to the Savings Bank A/c.of our employees towards salary for the month</t>
  </si>
  <si>
    <t xml:space="preserve">Date </t>
  </si>
  <si>
    <t>XXXXX Bank Ltd,</t>
  </si>
  <si>
    <t>XXXXXXXXXXXX</t>
  </si>
  <si>
    <t>XXXXXX – .</t>
  </si>
  <si>
    <t>of XXXXXX 2008 as per details given below.</t>
  </si>
  <si>
    <t>XXXXXXXX</t>
  </si>
  <si>
    <t>YYYYYYYY</t>
  </si>
  <si>
    <t>AAAAAAA</t>
  </si>
  <si>
    <t>BBBBBBB</t>
  </si>
  <si>
    <t>CCCCCCC</t>
  </si>
  <si>
    <t>ZZZZZZZZ</t>
  </si>
  <si>
    <t>EEEEEEEE</t>
  </si>
  <si>
    <t>YUUUUUUU</t>
  </si>
  <si>
    <t>For XXXXXXXXXXXXXXX PVT.LTD.</t>
  </si>
  <si>
    <t>COMPANY NAME</t>
  </si>
  <si>
    <t xml:space="preserve">MONTH : </t>
  </si>
  <si>
    <t xml:space="preserve">DATE: </t>
  </si>
  <si>
    <t>TN/MS/XXXX/01</t>
  </si>
  <si>
    <t>TN/MS/XXXX/02</t>
  </si>
  <si>
    <t>TN/MS/XXXX/03</t>
  </si>
  <si>
    <t>TN/MS/XXXX/04</t>
  </si>
  <si>
    <t>TN/MS/XXXX/05</t>
  </si>
  <si>
    <t>TN/MS/XXXX/06</t>
  </si>
  <si>
    <t>TN/MS/XXXX/07</t>
  </si>
  <si>
    <t>TN/MS/XXXX/08</t>
  </si>
  <si>
    <t>TN/MS/XXXX/09</t>
  </si>
  <si>
    <t>Loan Previous</t>
  </si>
  <si>
    <t>Closing Loan Balance</t>
  </si>
  <si>
    <t>Bank Ac No.</t>
  </si>
  <si>
    <t>Location</t>
  </si>
  <si>
    <t>Date of Joining</t>
  </si>
  <si>
    <t>ABCDEFG</t>
  </si>
  <si>
    <t>Kindly transfer a sum of Rs.63769/- (Rupees Sixty three thousand seven hundred and sixty nine only)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</si>
</sst>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_);\(0\)"/>
    <numFmt numFmtId="169" formatCode="0.00_);\(0.00\)"/>
    <numFmt numFmtId="170" formatCode="0.000_);\(0.000\)"/>
    <numFmt numFmtId="171" formatCode="0.0000_);\(0.0000\)"/>
    <numFmt numFmtId="172" formatCode="0.000000"/>
    <numFmt numFmtId="173" formatCode="[$-409]dddd\,\ mmmm\ dd\,\ yyyy"/>
    <numFmt numFmtId="174" formatCode="[$-409]h:mm:ss\ AM/PM"/>
    <numFmt numFmtId="175" formatCode="00000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;;"/>
    <numFmt numFmtId="182" formatCode="#,##0.0"/>
    <numFmt numFmtId="183" formatCode="0.000000000000"/>
    <numFmt numFmtId="184" formatCode="_(* #,##0.0_);_(* \(#,##0.0\);_(* &quot;-&quot;?_);_(@_)"/>
    <numFmt numFmtId="185" formatCode="#,##0.0_);\(#,##0.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name val="Arial"/>
      <family val="2"/>
    </font>
    <font>
      <b/>
      <sz val="10"/>
      <name val="Bookman Old Style"/>
      <family val="1"/>
    </font>
    <font>
      <sz val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Arial"/>
      <family val="0"/>
    </font>
    <font>
      <sz val="11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Tahoma"/>
      <family val="2"/>
    </font>
    <font>
      <b/>
      <u val="single"/>
      <sz val="11"/>
      <name val="Arial"/>
      <family val="2"/>
    </font>
    <font>
      <sz val="12"/>
      <name val="Tahoma"/>
      <family val="2"/>
    </font>
    <font>
      <b/>
      <sz val="13"/>
      <name val="Arial"/>
      <family val="0"/>
    </font>
    <font>
      <b/>
      <sz val="14"/>
      <name val="Arial"/>
      <family val="0"/>
    </font>
    <font>
      <sz val="12"/>
      <color indexed="9"/>
      <name val="Tahom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9"/>
      <name val="Arial"/>
      <family val="0"/>
    </font>
    <font>
      <u val="single"/>
      <sz val="10"/>
      <name val="Arial"/>
      <family val="0"/>
    </font>
    <font>
      <sz val="10"/>
      <color indexed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22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0" fontId="0" fillId="0" borderId="3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 quotePrefix="1">
      <alignment horizontal="left"/>
    </xf>
    <xf numFmtId="1" fontId="0" fillId="0" borderId="0" xfId="0" applyNumberFormat="1" applyFont="1" applyAlignment="1">
      <alignment/>
    </xf>
    <xf numFmtId="1" fontId="10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left"/>
    </xf>
    <xf numFmtId="0" fontId="12" fillId="0" borderId="3" xfId="0" applyFont="1" applyBorder="1" applyAlignment="1">
      <alignment vertical="center"/>
    </xf>
    <xf numFmtId="0" fontId="1" fillId="0" borderId="3" xfId="0" applyFont="1" applyFill="1" applyBorder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left"/>
    </xf>
    <xf numFmtId="0" fontId="0" fillId="0" borderId="3" xfId="0" applyFont="1" applyBorder="1" applyAlignment="1">
      <alignment/>
    </xf>
    <xf numFmtId="0" fontId="19" fillId="2" borderId="0" xfId="0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2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3" xfId="0" applyFont="1" applyBorder="1" applyAlignment="1">
      <alignment horizontal="left"/>
    </xf>
    <xf numFmtId="1" fontId="1" fillId="0" borderId="3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0" fontId="0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76" fontId="0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" fontId="21" fillId="0" borderId="0" xfId="0" applyNumberFormat="1" applyFont="1" applyAlignment="1">
      <alignment/>
    </xf>
    <xf numFmtId="0" fontId="7" fillId="2" borderId="0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" fontId="8" fillId="0" borderId="4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 quotePrefix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1" fontId="30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2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1" fontId="0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3" fontId="8" fillId="0" borderId="17" xfId="15" applyFont="1" applyBorder="1" applyAlignment="1">
      <alignment horizontal="right" vertical="center"/>
    </xf>
    <xf numFmtId="0" fontId="8" fillId="0" borderId="17" xfId="0" applyFont="1" applyBorder="1" applyAlignment="1">
      <alignment horizontal="right"/>
    </xf>
    <xf numFmtId="0" fontId="28" fillId="0" borderId="19" xfId="0" applyFont="1" applyBorder="1" applyAlignment="1">
      <alignment vertical="center"/>
    </xf>
    <xf numFmtId="43" fontId="24" fillId="0" borderId="17" xfId="15" applyFont="1" applyBorder="1" applyAlignment="1">
      <alignment horizontal="right" vertical="center"/>
    </xf>
    <xf numFmtId="0" fontId="8" fillId="0" borderId="17" xfId="0" applyFont="1" applyBorder="1" applyAlignment="1">
      <alignment/>
    </xf>
    <xf numFmtId="0" fontId="22" fillId="0" borderId="17" xfId="0" applyFont="1" applyFill="1" applyBorder="1" applyAlignment="1">
      <alignment vertical="center"/>
    </xf>
    <xf numFmtId="0" fontId="23" fillId="1" borderId="19" xfId="0" applyFont="1" applyFill="1" applyBorder="1" applyAlignment="1">
      <alignment vertical="center"/>
    </xf>
    <xf numFmtId="43" fontId="4" fillId="1" borderId="17" xfId="15" applyFont="1" applyFill="1" applyBorder="1" applyAlignment="1">
      <alignment horizontal="right" vertical="center"/>
    </xf>
    <xf numFmtId="0" fontId="23" fillId="1" borderId="17" xfId="0" applyFont="1" applyFill="1" applyBorder="1" applyAlignment="1">
      <alignment vertical="center"/>
    </xf>
    <xf numFmtId="43" fontId="4" fillId="1" borderId="18" xfId="15" applyFont="1" applyFill="1" applyBorder="1" applyAlignment="1">
      <alignment horizontal="right" vertic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23" fillId="0" borderId="19" xfId="0" applyFont="1" applyBorder="1" applyAlignment="1">
      <alignment/>
    </xf>
    <xf numFmtId="43" fontId="4" fillId="1" borderId="18" xfId="15" applyFont="1" applyFill="1" applyBorder="1" applyAlignment="1">
      <alignment horizontal="right" vertical="center"/>
    </xf>
    <xf numFmtId="0" fontId="8" fillId="0" borderId="28" xfId="0" applyFont="1" applyBorder="1" applyAlignment="1">
      <alignment/>
    </xf>
    <xf numFmtId="43" fontId="8" fillId="0" borderId="18" xfId="15" applyFont="1" applyBorder="1" applyAlignment="1">
      <alignment horizontal="right"/>
    </xf>
    <xf numFmtId="0" fontId="30" fillId="2" borderId="0" xfId="0" applyFont="1" applyFill="1" applyBorder="1" applyAlignment="1">
      <alignment/>
    </xf>
    <xf numFmtId="1" fontId="30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21" fillId="0" borderId="3" xfId="0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43" fontId="8" fillId="0" borderId="17" xfId="15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/>
    </xf>
    <xf numFmtId="1" fontId="8" fillId="0" borderId="18" xfId="0" applyNumberFormat="1" applyFont="1" applyBorder="1" applyAlignment="1">
      <alignment horizontal="left" vertic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2" borderId="0" xfId="20" applyFont="1" applyFill="1" applyAlignment="1">
      <alignment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/>
    </xf>
    <xf numFmtId="0" fontId="12" fillId="0" borderId="14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" fontId="0" fillId="0" borderId="3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left" vertical="center"/>
    </xf>
    <xf numFmtId="1" fontId="12" fillId="0" borderId="3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2" fillId="0" borderId="0" xfId="0" applyFont="1" applyAlignment="1">
      <alignment/>
    </xf>
    <xf numFmtId="185" fontId="8" fillId="0" borderId="18" xfId="15" applyNumberFormat="1" applyFont="1" applyBorder="1" applyAlignment="1">
      <alignment horizontal="right"/>
    </xf>
    <xf numFmtId="37" fontId="8" fillId="0" borderId="18" xfId="15" applyNumberFormat="1" applyFont="1" applyBorder="1" applyAlignment="1">
      <alignment horizontal="right"/>
    </xf>
    <xf numFmtId="43" fontId="8" fillId="1" borderId="18" xfId="15" applyFont="1" applyFill="1" applyBorder="1" applyAlignment="1">
      <alignment horizontal="right"/>
    </xf>
    <xf numFmtId="0" fontId="12" fillId="3" borderId="7" xfId="0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wrapText="1"/>
    </xf>
    <xf numFmtId="0" fontId="0" fillId="3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" fontId="8" fillId="0" borderId="17" xfId="0" applyNumberFormat="1" applyFont="1" applyBorder="1" applyAlignment="1">
      <alignment horizontal="left" vertical="center"/>
    </xf>
    <xf numFmtId="176" fontId="8" fillId="0" borderId="40" xfId="0" applyNumberFormat="1" applyFont="1" applyBorder="1" applyAlignment="1">
      <alignment horizontal="left" vertical="center"/>
    </xf>
    <xf numFmtId="176" fontId="8" fillId="0" borderId="41" xfId="0" applyNumberFormat="1" applyFont="1" applyBorder="1" applyAlignment="1">
      <alignment horizontal="left" vertical="center"/>
    </xf>
    <xf numFmtId="0" fontId="21" fillId="1" borderId="19" xfId="0" applyFont="1" applyFill="1" applyBorder="1" applyAlignment="1">
      <alignment horizontal="center" vertical="center"/>
    </xf>
    <xf numFmtId="0" fontId="21" fillId="1" borderId="17" xfId="0" applyFont="1" applyFill="1" applyBorder="1" applyAlignment="1">
      <alignment horizontal="center" vertical="center"/>
    </xf>
    <xf numFmtId="0" fontId="21" fillId="1" borderId="18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8" fillId="0" borderId="27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609600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609600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17"/>
  <sheetViews>
    <sheetView view="pageBreakPreview" zoomScaleSheetLayoutView="100" workbookViewId="0" topLeftCell="A10">
      <pane xSplit="2" topLeftCell="C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4.28125" style="41" customWidth="1"/>
    <col min="2" max="2" width="16.421875" style="40" customWidth="1"/>
    <col min="3" max="3" width="11.421875" style="41" customWidth="1"/>
    <col min="4" max="4" width="9.28125" style="41" bestFit="1" customWidth="1"/>
    <col min="5" max="5" width="9.7109375" style="152" customWidth="1"/>
    <col min="6" max="7" width="13.421875" style="40" customWidth="1"/>
    <col min="8" max="8" width="13.57421875" style="40" customWidth="1"/>
    <col min="9" max="10" width="7.421875" style="40" customWidth="1"/>
    <col min="11" max="11" width="8.7109375" style="40" customWidth="1"/>
    <col min="12" max="12" width="7.57421875" style="40" customWidth="1"/>
    <col min="13" max="13" width="8.140625" style="40" customWidth="1"/>
    <col min="14" max="14" width="12.421875" style="40" bestFit="1" customWidth="1"/>
    <col min="15" max="15" width="8.8515625" style="40" customWidth="1"/>
    <col min="16" max="16" width="7.7109375" style="40" customWidth="1"/>
    <col min="17" max="17" width="6.28125" style="40" customWidth="1"/>
    <col min="18" max="18" width="7.57421875" style="40" customWidth="1"/>
    <col min="19" max="19" width="8.8515625" style="40" customWidth="1"/>
    <col min="20" max="20" width="6.00390625" style="40" customWidth="1"/>
    <col min="21" max="21" width="5.140625" style="40" customWidth="1"/>
    <col min="22" max="23" width="7.421875" style="40" customWidth="1"/>
    <col min="24" max="24" width="8.8515625" style="40" customWidth="1"/>
    <col min="25" max="25" width="2.7109375" style="41" customWidth="1"/>
    <col min="26" max="26" width="5.57421875" style="40" bestFit="1" customWidth="1"/>
    <col min="27" max="29" width="9.140625" style="41" customWidth="1"/>
    <col min="30" max="30" width="16.7109375" style="41" customWidth="1"/>
    <col min="31" max="33" width="9.140625" style="41" customWidth="1"/>
    <col min="34" max="34" width="14.8515625" style="41" bestFit="1" customWidth="1"/>
    <col min="35" max="16384" width="9.140625" style="41" customWidth="1"/>
  </cols>
  <sheetData>
    <row r="1" spans="1:26" ht="15">
      <c r="A1" s="38" t="s">
        <v>154</v>
      </c>
      <c r="B1" s="59"/>
      <c r="C1" s="37"/>
      <c r="D1" s="37"/>
      <c r="E1" s="10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Z1" s="37"/>
    </row>
    <row r="2" spans="1:26" ht="15">
      <c r="A2" s="116" t="s">
        <v>155</v>
      </c>
      <c r="B2" s="59"/>
      <c r="C2" s="36"/>
      <c r="D2" s="238"/>
      <c r="E2" s="109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36"/>
    </row>
    <row r="3" spans="1:26" ht="15">
      <c r="A3" s="116" t="s">
        <v>156</v>
      </c>
      <c r="B3" s="59"/>
      <c r="C3" s="36"/>
      <c r="D3" s="36"/>
      <c r="E3" s="10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Z3" s="36"/>
    </row>
    <row r="4" spans="1:30" s="148" customFormat="1" ht="71.25" customHeight="1">
      <c r="A4" s="42" t="s">
        <v>126</v>
      </c>
      <c r="B4" s="255" t="s">
        <v>92</v>
      </c>
      <c r="C4" s="43" t="s">
        <v>19</v>
      </c>
      <c r="D4" s="43" t="s">
        <v>170</v>
      </c>
      <c r="E4" s="44" t="s">
        <v>169</v>
      </c>
      <c r="F4" s="44" t="s">
        <v>69</v>
      </c>
      <c r="G4" s="44" t="s">
        <v>83</v>
      </c>
      <c r="H4" s="268" t="s">
        <v>48</v>
      </c>
      <c r="I4" s="45" t="s">
        <v>52</v>
      </c>
      <c r="J4" s="45" t="s">
        <v>21</v>
      </c>
      <c r="K4" s="45" t="s">
        <v>65</v>
      </c>
      <c r="L4" s="45" t="s">
        <v>22</v>
      </c>
      <c r="M4" s="45" t="s">
        <v>127</v>
      </c>
      <c r="N4" s="45" t="s">
        <v>89</v>
      </c>
      <c r="O4" s="45" t="s">
        <v>48</v>
      </c>
      <c r="P4" s="46" t="s">
        <v>44</v>
      </c>
      <c r="Q4" s="46" t="s">
        <v>45</v>
      </c>
      <c r="R4" s="45" t="s">
        <v>25</v>
      </c>
      <c r="S4" s="46" t="s">
        <v>38</v>
      </c>
      <c r="T4" s="46" t="s">
        <v>43</v>
      </c>
      <c r="U4" s="47" t="s">
        <v>47</v>
      </c>
      <c r="V4" s="46" t="s">
        <v>87</v>
      </c>
      <c r="W4" s="46" t="s">
        <v>50</v>
      </c>
      <c r="X4" s="64" t="s">
        <v>72</v>
      </c>
      <c r="Z4" s="71"/>
      <c r="AA4" s="148" t="s">
        <v>166</v>
      </c>
      <c r="AB4" s="148" t="s">
        <v>167</v>
      </c>
      <c r="AD4" s="148" t="s">
        <v>168</v>
      </c>
    </row>
    <row r="5" spans="1:33" s="151" customFormat="1" ht="42.75" customHeight="1">
      <c r="A5" s="256">
        <v>1</v>
      </c>
      <c r="B5" s="259" t="s">
        <v>145</v>
      </c>
      <c r="C5" s="253" t="s">
        <v>128</v>
      </c>
      <c r="D5" s="53">
        <v>39363</v>
      </c>
      <c r="E5" s="51" t="s">
        <v>24</v>
      </c>
      <c r="F5" s="52" t="s">
        <v>157</v>
      </c>
      <c r="G5" s="52" t="s">
        <v>66</v>
      </c>
      <c r="H5" s="269">
        <v>25800</v>
      </c>
      <c r="I5" s="49">
        <f aca="true" t="shared" si="0" ref="I5:I13">ROUND(H5*30%,0)</f>
        <v>7740</v>
      </c>
      <c r="J5" s="49">
        <f aca="true" t="shared" si="1" ref="J5:J13">ROUND(H5*20%,0)</f>
        <v>5160</v>
      </c>
      <c r="K5" s="49">
        <f aca="true" t="shared" si="2" ref="K5:K10">I5+J5</f>
        <v>12900</v>
      </c>
      <c r="L5" s="49">
        <f aca="true" t="shared" si="3" ref="L5:L13">ROUND(H5*20%,0)</f>
        <v>5160</v>
      </c>
      <c r="M5" s="49">
        <f aca="true" t="shared" si="4" ref="M5:M13">ROUND(H5*10%,0)</f>
        <v>2580</v>
      </c>
      <c r="N5" s="49">
        <f aca="true" t="shared" si="5" ref="N5:N13">ROUND(H5*20%,0)</f>
        <v>5160</v>
      </c>
      <c r="O5" s="49">
        <f>SUM(K5:N5)</f>
        <v>25800</v>
      </c>
      <c r="P5" s="242">
        <v>0.5</v>
      </c>
      <c r="Q5" s="49">
        <f aca="true" t="shared" si="6" ref="Q5:Q13">O5*P5/29</f>
        <v>444.82758620689657</v>
      </c>
      <c r="R5" s="49">
        <f>ROUND(K5*0.12,0)</f>
        <v>1548</v>
      </c>
      <c r="S5" s="269">
        <v>1000</v>
      </c>
      <c r="T5" s="269"/>
      <c r="U5" s="269"/>
      <c r="V5" s="269"/>
      <c r="W5" s="49">
        <f>SUM(Q5:V5)</f>
        <v>2992.8275862068967</v>
      </c>
      <c r="X5" s="50">
        <f>O5-W5</f>
        <v>22807.1724137931</v>
      </c>
      <c r="Y5" s="150"/>
      <c r="Z5" s="243"/>
      <c r="AA5" s="271">
        <v>20000</v>
      </c>
      <c r="AB5" s="247">
        <f>AA5-S5</f>
        <v>19000</v>
      </c>
      <c r="AC5" s="243"/>
      <c r="AD5" s="217">
        <v>110012345</v>
      </c>
      <c r="AG5" s="244"/>
    </row>
    <row r="6" spans="1:31" s="246" customFormat="1" ht="34.5" customHeight="1">
      <c r="A6" s="257">
        <f aca="true" t="shared" si="7" ref="A6:A13">A5+1</f>
        <v>2</v>
      </c>
      <c r="B6" s="259" t="s">
        <v>146</v>
      </c>
      <c r="C6" s="254" t="s">
        <v>26</v>
      </c>
      <c r="D6" s="100">
        <v>39388</v>
      </c>
      <c r="E6" s="51" t="s">
        <v>24</v>
      </c>
      <c r="F6" s="52" t="s">
        <v>158</v>
      </c>
      <c r="G6" s="111" t="s">
        <v>68</v>
      </c>
      <c r="H6" s="269">
        <v>4500</v>
      </c>
      <c r="I6" s="49">
        <f t="shared" si="0"/>
        <v>1350</v>
      </c>
      <c r="J6" s="49">
        <f t="shared" si="1"/>
        <v>900</v>
      </c>
      <c r="K6" s="49">
        <f t="shared" si="2"/>
        <v>2250</v>
      </c>
      <c r="L6" s="49">
        <f t="shared" si="3"/>
        <v>900</v>
      </c>
      <c r="M6" s="49">
        <f t="shared" si="4"/>
        <v>450</v>
      </c>
      <c r="N6" s="49">
        <f t="shared" si="5"/>
        <v>900</v>
      </c>
      <c r="O6" s="49">
        <f aca="true" t="shared" si="8" ref="O6:O13">SUM(K6:N6)</f>
        <v>4500</v>
      </c>
      <c r="P6" s="236"/>
      <c r="Q6" s="49">
        <f t="shared" si="6"/>
        <v>0</v>
      </c>
      <c r="R6" s="49">
        <f aca="true" t="shared" si="9" ref="R6:R13">ROUND(K6*0.12,0)</f>
        <v>270</v>
      </c>
      <c r="S6" s="269"/>
      <c r="T6" s="269"/>
      <c r="U6" s="269"/>
      <c r="V6" s="269"/>
      <c r="W6" s="49">
        <f aca="true" t="shared" si="10" ref="W6:W12">SUM(Q6:V6)</f>
        <v>270</v>
      </c>
      <c r="X6" s="50">
        <f aca="true" t="shared" si="11" ref="X6:X13">O6-W6</f>
        <v>4230</v>
      </c>
      <c r="Y6" s="150"/>
      <c r="Z6" s="243"/>
      <c r="AA6" s="271"/>
      <c r="AB6" s="243"/>
      <c r="AC6" s="243"/>
      <c r="AD6" s="217" t="s">
        <v>93</v>
      </c>
      <c r="AE6" s="245"/>
    </row>
    <row r="7" spans="1:31" s="246" customFormat="1" ht="60" customHeight="1">
      <c r="A7" s="257">
        <f t="shared" si="7"/>
        <v>3</v>
      </c>
      <c r="B7" s="259" t="s">
        <v>147</v>
      </c>
      <c r="C7" s="254" t="s">
        <v>130</v>
      </c>
      <c r="D7" s="100">
        <v>39405</v>
      </c>
      <c r="E7" s="51" t="s">
        <v>24</v>
      </c>
      <c r="F7" s="52" t="s">
        <v>159</v>
      </c>
      <c r="G7" s="111" t="s">
        <v>86</v>
      </c>
      <c r="H7" s="269">
        <v>10300</v>
      </c>
      <c r="I7" s="49">
        <f t="shared" si="0"/>
        <v>3090</v>
      </c>
      <c r="J7" s="49">
        <f t="shared" si="1"/>
        <v>2060</v>
      </c>
      <c r="K7" s="49">
        <f t="shared" si="2"/>
        <v>5150</v>
      </c>
      <c r="L7" s="49">
        <f t="shared" si="3"/>
        <v>2060</v>
      </c>
      <c r="M7" s="49">
        <f t="shared" si="4"/>
        <v>1030</v>
      </c>
      <c r="N7" s="49">
        <f t="shared" si="5"/>
        <v>2060</v>
      </c>
      <c r="O7" s="49">
        <f t="shared" si="8"/>
        <v>10300</v>
      </c>
      <c r="P7" s="236"/>
      <c r="Q7" s="49">
        <f t="shared" si="6"/>
        <v>0</v>
      </c>
      <c r="R7" s="49">
        <f t="shared" si="9"/>
        <v>618</v>
      </c>
      <c r="S7" s="269"/>
      <c r="T7" s="269"/>
      <c r="U7" s="269"/>
      <c r="V7" s="269"/>
      <c r="W7" s="49">
        <f t="shared" si="10"/>
        <v>618</v>
      </c>
      <c r="X7" s="50">
        <f t="shared" si="11"/>
        <v>9682</v>
      </c>
      <c r="Y7" s="150"/>
      <c r="Z7" s="247"/>
      <c r="AA7" s="271"/>
      <c r="AB7" s="247"/>
      <c r="AC7" s="243"/>
      <c r="AD7" s="217">
        <v>110012347</v>
      </c>
      <c r="AE7" s="241"/>
    </row>
    <row r="8" spans="1:33" s="246" customFormat="1" ht="47.25" customHeight="1">
      <c r="A8" s="257">
        <f t="shared" si="7"/>
        <v>4</v>
      </c>
      <c r="B8" s="259" t="s">
        <v>148</v>
      </c>
      <c r="C8" s="254" t="s">
        <v>131</v>
      </c>
      <c r="D8" s="100">
        <v>39412</v>
      </c>
      <c r="E8" s="51" t="s">
        <v>24</v>
      </c>
      <c r="F8" s="52" t="s">
        <v>160</v>
      </c>
      <c r="G8" s="111" t="s">
        <v>67</v>
      </c>
      <c r="H8" s="269">
        <v>8000</v>
      </c>
      <c r="I8" s="49">
        <f t="shared" si="0"/>
        <v>2400</v>
      </c>
      <c r="J8" s="49">
        <f t="shared" si="1"/>
        <v>1600</v>
      </c>
      <c r="K8" s="49">
        <f t="shared" si="2"/>
        <v>4000</v>
      </c>
      <c r="L8" s="49">
        <f t="shared" si="3"/>
        <v>1600</v>
      </c>
      <c r="M8" s="49">
        <f t="shared" si="4"/>
        <v>800</v>
      </c>
      <c r="N8" s="49">
        <f t="shared" si="5"/>
        <v>1600</v>
      </c>
      <c r="O8" s="49">
        <f t="shared" si="8"/>
        <v>8000</v>
      </c>
      <c r="P8" s="236"/>
      <c r="Q8" s="49">
        <f t="shared" si="6"/>
        <v>0</v>
      </c>
      <c r="R8" s="49">
        <f t="shared" si="9"/>
        <v>480</v>
      </c>
      <c r="S8" s="269">
        <v>500</v>
      </c>
      <c r="T8" s="269"/>
      <c r="U8" s="269"/>
      <c r="V8" s="269"/>
      <c r="W8" s="49">
        <f t="shared" si="10"/>
        <v>980</v>
      </c>
      <c r="X8" s="50">
        <f t="shared" si="11"/>
        <v>7020</v>
      </c>
      <c r="Y8" s="150"/>
      <c r="Z8" s="243"/>
      <c r="AA8" s="271">
        <v>1500</v>
      </c>
      <c r="AB8" s="247">
        <f>AA8-S8</f>
        <v>1000</v>
      </c>
      <c r="AC8" s="243"/>
      <c r="AD8" s="217" t="s">
        <v>93</v>
      </c>
      <c r="AE8" s="241"/>
      <c r="AG8" s="248"/>
    </row>
    <row r="9" spans="1:37" ht="48" customHeight="1">
      <c r="A9" s="257">
        <f t="shared" si="7"/>
        <v>5</v>
      </c>
      <c r="B9" s="259" t="s">
        <v>149</v>
      </c>
      <c r="C9" s="253" t="s">
        <v>131</v>
      </c>
      <c r="D9" s="53">
        <v>39426</v>
      </c>
      <c r="E9" s="48" t="s">
        <v>24</v>
      </c>
      <c r="F9" s="52" t="s">
        <v>161</v>
      </c>
      <c r="G9" s="111" t="s">
        <v>67</v>
      </c>
      <c r="H9" s="269">
        <v>8000</v>
      </c>
      <c r="I9" s="49">
        <f t="shared" si="0"/>
        <v>2400</v>
      </c>
      <c r="J9" s="49">
        <f t="shared" si="1"/>
        <v>1600</v>
      </c>
      <c r="K9" s="49">
        <f t="shared" si="2"/>
        <v>4000</v>
      </c>
      <c r="L9" s="49">
        <f t="shared" si="3"/>
        <v>1600</v>
      </c>
      <c r="M9" s="49">
        <f t="shared" si="4"/>
        <v>800</v>
      </c>
      <c r="N9" s="49">
        <f t="shared" si="5"/>
        <v>1600</v>
      </c>
      <c r="O9" s="49">
        <f t="shared" si="8"/>
        <v>8000</v>
      </c>
      <c r="P9" s="236"/>
      <c r="Q9" s="49">
        <f t="shared" si="6"/>
        <v>0</v>
      </c>
      <c r="R9" s="49">
        <f t="shared" si="9"/>
        <v>480</v>
      </c>
      <c r="S9" s="269"/>
      <c r="T9" s="269"/>
      <c r="U9" s="269"/>
      <c r="V9" s="269"/>
      <c r="W9" s="49">
        <f t="shared" si="10"/>
        <v>480</v>
      </c>
      <c r="X9" s="50">
        <f t="shared" si="11"/>
        <v>7520</v>
      </c>
      <c r="Y9" s="239"/>
      <c r="Z9" s="106"/>
      <c r="AA9" s="272"/>
      <c r="AB9" s="106"/>
      <c r="AC9" s="106"/>
      <c r="AD9" s="217">
        <v>110012349</v>
      </c>
      <c r="AE9" s="241"/>
      <c r="AF9" s="246"/>
      <c r="AG9" s="248"/>
      <c r="AH9" s="128"/>
      <c r="AI9" s="149"/>
      <c r="AJ9" s="70"/>
      <c r="AK9" s="58"/>
    </row>
    <row r="10" spans="1:37" ht="47.25" customHeight="1">
      <c r="A10" s="257">
        <f t="shared" si="7"/>
        <v>6</v>
      </c>
      <c r="B10" s="259" t="s">
        <v>150</v>
      </c>
      <c r="C10" s="253" t="s">
        <v>131</v>
      </c>
      <c r="D10" s="53">
        <v>39440</v>
      </c>
      <c r="E10" s="48" t="s">
        <v>24</v>
      </c>
      <c r="F10" s="52" t="s">
        <v>162</v>
      </c>
      <c r="G10" s="111" t="s">
        <v>67</v>
      </c>
      <c r="H10" s="269">
        <v>8000</v>
      </c>
      <c r="I10" s="49">
        <f t="shared" si="0"/>
        <v>2400</v>
      </c>
      <c r="J10" s="49">
        <f t="shared" si="1"/>
        <v>1600</v>
      </c>
      <c r="K10" s="49">
        <f t="shared" si="2"/>
        <v>4000</v>
      </c>
      <c r="L10" s="49">
        <f t="shared" si="3"/>
        <v>1600</v>
      </c>
      <c r="M10" s="49">
        <f t="shared" si="4"/>
        <v>800</v>
      </c>
      <c r="N10" s="49">
        <f t="shared" si="5"/>
        <v>1600</v>
      </c>
      <c r="O10" s="49">
        <f t="shared" si="8"/>
        <v>8000</v>
      </c>
      <c r="P10" s="236"/>
      <c r="Q10" s="49">
        <f t="shared" si="6"/>
        <v>0</v>
      </c>
      <c r="R10" s="49">
        <f t="shared" si="9"/>
        <v>480</v>
      </c>
      <c r="S10" s="269"/>
      <c r="T10" s="269"/>
      <c r="U10" s="269"/>
      <c r="V10" s="269"/>
      <c r="W10" s="49">
        <f t="shared" si="10"/>
        <v>480</v>
      </c>
      <c r="X10" s="50">
        <f t="shared" si="11"/>
        <v>7520</v>
      </c>
      <c r="Y10" s="239"/>
      <c r="Z10" s="106"/>
      <c r="AA10" s="272"/>
      <c r="AB10" s="106"/>
      <c r="AC10" s="106"/>
      <c r="AD10" s="217">
        <v>110012350</v>
      </c>
      <c r="AE10" s="241"/>
      <c r="AF10" s="246"/>
      <c r="AG10" s="248"/>
      <c r="AH10" s="128"/>
      <c r="AI10" s="149"/>
      <c r="AJ10" s="70"/>
      <c r="AK10" s="58"/>
    </row>
    <row r="11" spans="1:37" ht="41.25" customHeight="1">
      <c r="A11" s="257">
        <f>A10+1</f>
        <v>7</v>
      </c>
      <c r="B11" s="259" t="s">
        <v>151</v>
      </c>
      <c r="C11" s="254" t="s">
        <v>133</v>
      </c>
      <c r="D11" s="100">
        <v>39454</v>
      </c>
      <c r="E11" s="48" t="s">
        <v>24</v>
      </c>
      <c r="F11" s="52" t="s">
        <v>163</v>
      </c>
      <c r="G11" s="111" t="s">
        <v>67</v>
      </c>
      <c r="H11" s="269">
        <v>27000</v>
      </c>
      <c r="I11" s="49">
        <f t="shared" si="0"/>
        <v>8100</v>
      </c>
      <c r="J11" s="49">
        <f t="shared" si="1"/>
        <v>5400</v>
      </c>
      <c r="K11" s="49">
        <f>I11+J11</f>
        <v>13500</v>
      </c>
      <c r="L11" s="49">
        <f t="shared" si="3"/>
        <v>5400</v>
      </c>
      <c r="M11" s="49">
        <f t="shared" si="4"/>
        <v>2700</v>
      </c>
      <c r="N11" s="49">
        <f t="shared" si="5"/>
        <v>5400</v>
      </c>
      <c r="O11" s="49">
        <f t="shared" si="8"/>
        <v>27000</v>
      </c>
      <c r="P11" s="236"/>
      <c r="Q11" s="49">
        <f t="shared" si="6"/>
        <v>0</v>
      </c>
      <c r="R11" s="49">
        <f t="shared" si="9"/>
        <v>1620</v>
      </c>
      <c r="S11" s="269">
        <v>5000</v>
      </c>
      <c r="T11" s="269"/>
      <c r="U11" s="269">
        <v>140</v>
      </c>
      <c r="V11" s="269">
        <v>4000</v>
      </c>
      <c r="W11" s="49">
        <f>SUM(Q11:V11)</f>
        <v>10760</v>
      </c>
      <c r="X11" s="50">
        <f t="shared" si="11"/>
        <v>16240</v>
      </c>
      <c r="Y11" s="106"/>
      <c r="Z11" s="106"/>
      <c r="AA11" s="272">
        <v>25000</v>
      </c>
      <c r="AB11" s="247">
        <f>AA11-S11</f>
        <v>20000</v>
      </c>
      <c r="AC11" s="106"/>
      <c r="AD11" s="217">
        <v>110012351</v>
      </c>
      <c r="AE11" s="241"/>
      <c r="AF11" s="237"/>
      <c r="AG11" s="216"/>
      <c r="AH11" s="128"/>
      <c r="AI11" s="149"/>
      <c r="AJ11" s="106"/>
      <c r="AK11" s="58"/>
    </row>
    <row r="12" spans="1:37" ht="40.5" customHeight="1">
      <c r="A12" s="257">
        <f t="shared" si="7"/>
        <v>8</v>
      </c>
      <c r="B12" s="259" t="s">
        <v>152</v>
      </c>
      <c r="C12" s="253" t="s">
        <v>131</v>
      </c>
      <c r="D12" s="100">
        <v>39484</v>
      </c>
      <c r="E12" s="48" t="s">
        <v>24</v>
      </c>
      <c r="F12" s="52" t="s">
        <v>164</v>
      </c>
      <c r="G12" s="111" t="s">
        <v>67</v>
      </c>
      <c r="H12" s="269">
        <v>8000</v>
      </c>
      <c r="I12" s="49">
        <f t="shared" si="0"/>
        <v>2400</v>
      </c>
      <c r="J12" s="49">
        <f t="shared" si="1"/>
        <v>1600</v>
      </c>
      <c r="K12" s="49">
        <f>I12+J12</f>
        <v>4000</v>
      </c>
      <c r="L12" s="49">
        <f t="shared" si="3"/>
        <v>1600</v>
      </c>
      <c r="M12" s="49">
        <f t="shared" si="4"/>
        <v>800</v>
      </c>
      <c r="N12" s="49">
        <f t="shared" si="5"/>
        <v>1600</v>
      </c>
      <c r="O12" s="49">
        <f t="shared" si="8"/>
        <v>8000</v>
      </c>
      <c r="P12" s="236">
        <v>5</v>
      </c>
      <c r="Q12" s="49">
        <f t="shared" si="6"/>
        <v>1379.3103448275863</v>
      </c>
      <c r="R12" s="49">
        <f t="shared" si="9"/>
        <v>480</v>
      </c>
      <c r="S12" s="269"/>
      <c r="T12" s="269"/>
      <c r="U12" s="269"/>
      <c r="V12" s="269"/>
      <c r="W12" s="49">
        <f t="shared" si="10"/>
        <v>1859.3103448275863</v>
      </c>
      <c r="X12" s="50">
        <f t="shared" si="11"/>
        <v>6140.689655172414</v>
      </c>
      <c r="Y12" s="106"/>
      <c r="Z12" s="106"/>
      <c r="AA12" s="272"/>
      <c r="AB12" s="106"/>
      <c r="AC12" s="106"/>
      <c r="AD12" s="217" t="s">
        <v>93</v>
      </c>
      <c r="AE12" s="241"/>
      <c r="AF12" s="237"/>
      <c r="AG12" s="216"/>
      <c r="AH12" s="128"/>
      <c r="AI12" s="149"/>
      <c r="AJ12" s="106"/>
      <c r="AK12" s="58"/>
    </row>
    <row r="13" spans="1:37" ht="39" customHeight="1">
      <c r="A13" s="257">
        <f t="shared" si="7"/>
        <v>9</v>
      </c>
      <c r="B13" s="259" t="s">
        <v>171</v>
      </c>
      <c r="C13" s="253" t="s">
        <v>131</v>
      </c>
      <c r="D13" s="100">
        <v>39490</v>
      </c>
      <c r="E13" s="48" t="s">
        <v>24</v>
      </c>
      <c r="F13" s="52" t="s">
        <v>165</v>
      </c>
      <c r="G13" s="111" t="s">
        <v>67</v>
      </c>
      <c r="H13" s="269">
        <v>8000</v>
      </c>
      <c r="I13" s="49">
        <f t="shared" si="0"/>
        <v>2400</v>
      </c>
      <c r="J13" s="49">
        <f t="shared" si="1"/>
        <v>1600</v>
      </c>
      <c r="K13" s="49">
        <f>I13+J13</f>
        <v>4000</v>
      </c>
      <c r="L13" s="49">
        <f t="shared" si="3"/>
        <v>1600</v>
      </c>
      <c r="M13" s="49">
        <f t="shared" si="4"/>
        <v>800</v>
      </c>
      <c r="N13" s="49">
        <f t="shared" si="5"/>
        <v>1600</v>
      </c>
      <c r="O13" s="49">
        <f t="shared" si="8"/>
        <v>8000</v>
      </c>
      <c r="P13" s="236">
        <v>11</v>
      </c>
      <c r="Q13" s="49">
        <f t="shared" si="6"/>
        <v>3034.4827586206898</v>
      </c>
      <c r="R13" s="49">
        <f t="shared" si="9"/>
        <v>480</v>
      </c>
      <c r="S13" s="269"/>
      <c r="T13" s="269"/>
      <c r="U13" s="269"/>
      <c r="V13" s="269"/>
      <c r="W13" s="49">
        <f>SUM(Q13:V13)</f>
        <v>3514.4827586206898</v>
      </c>
      <c r="X13" s="50">
        <f t="shared" si="11"/>
        <v>4485.51724137931</v>
      </c>
      <c r="Y13" s="106"/>
      <c r="Z13" s="106"/>
      <c r="AA13" s="272"/>
      <c r="AB13" s="106"/>
      <c r="AC13" s="106"/>
      <c r="AD13" s="217" t="s">
        <v>93</v>
      </c>
      <c r="AE13" s="241"/>
      <c r="AF13" s="237"/>
      <c r="AG13" s="216"/>
      <c r="AH13" s="128"/>
      <c r="AI13" s="149"/>
      <c r="AJ13" s="106"/>
      <c r="AK13" s="58"/>
    </row>
    <row r="14" spans="1:32" ht="19.5" customHeight="1">
      <c r="A14" s="117"/>
      <c r="B14" s="258" t="s">
        <v>63</v>
      </c>
      <c r="C14" s="113"/>
      <c r="D14" s="113"/>
      <c r="E14" s="118"/>
      <c r="F14" s="118"/>
      <c r="G14" s="118"/>
      <c r="H14" s="119">
        <f aca="true" t="shared" si="12" ref="H14:X14">SUM(H5:H13)</f>
        <v>107600</v>
      </c>
      <c r="I14" s="119">
        <f t="shared" si="12"/>
        <v>32280</v>
      </c>
      <c r="J14" s="119">
        <f t="shared" si="12"/>
        <v>21520</v>
      </c>
      <c r="K14" s="119">
        <f t="shared" si="12"/>
        <v>53800</v>
      </c>
      <c r="L14" s="119">
        <f t="shared" si="12"/>
        <v>21520</v>
      </c>
      <c r="M14" s="119">
        <f t="shared" si="12"/>
        <v>10760</v>
      </c>
      <c r="N14" s="119">
        <f t="shared" si="12"/>
        <v>21520</v>
      </c>
      <c r="O14" s="119">
        <f t="shared" si="12"/>
        <v>107600</v>
      </c>
      <c r="P14" s="250">
        <f t="shared" si="12"/>
        <v>16.5</v>
      </c>
      <c r="Q14" s="119">
        <f t="shared" si="12"/>
        <v>4858.620689655172</v>
      </c>
      <c r="R14" s="119">
        <f t="shared" si="12"/>
        <v>6456</v>
      </c>
      <c r="S14" s="119">
        <f t="shared" si="12"/>
        <v>6500</v>
      </c>
      <c r="T14" s="119">
        <f t="shared" si="12"/>
        <v>0</v>
      </c>
      <c r="U14" s="119">
        <f t="shared" si="12"/>
        <v>140</v>
      </c>
      <c r="V14" s="119">
        <f t="shared" si="12"/>
        <v>4000</v>
      </c>
      <c r="W14" s="119">
        <f t="shared" si="12"/>
        <v>21954.620689655174</v>
      </c>
      <c r="X14" s="119">
        <f t="shared" si="12"/>
        <v>85645.37931034483</v>
      </c>
      <c r="Y14" s="148"/>
      <c r="Z14" s="240"/>
      <c r="AA14" s="84"/>
      <c r="AB14" s="249"/>
      <c r="AC14" s="84"/>
      <c r="AF14" s="58"/>
    </row>
    <row r="17" spans="5:6" ht="12.75">
      <c r="E17" s="270"/>
      <c r="F17" s="40" t="s">
        <v>18</v>
      </c>
    </row>
  </sheetData>
  <autoFilter ref="A4:AI14"/>
  <printOptions gridLines="1" horizontalCentered="1"/>
  <pageMargins left="0.51" right="0.01" top="0.25" bottom="0.25" header="0" footer="0.25"/>
  <pageSetup horizontalDpi="600" verticalDpi="600" orientation="landscape" paperSize="5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" right="0" top="0" bottom="0" header="0" footer="0"/>
  <pageSetup fitToHeight="1" fitToWidth="1" horizontalDpi="240" verticalDpi="24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07:B389"/>
  <sheetViews>
    <sheetView workbookViewId="0" topLeftCell="A1">
      <selection activeCell="A1" sqref="A1"/>
    </sheetView>
  </sheetViews>
  <sheetFormatPr defaultColWidth="9.14062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50" ht="1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107" ht="15">
      <c r="A107" s="12"/>
    </row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213" spans="1:2" ht="12.75">
      <c r="A213" s="1"/>
      <c r="B213" s="1"/>
    </row>
    <row r="221" ht="12.75">
      <c r="A221" s="2"/>
    </row>
    <row r="231" ht="15">
      <c r="A231" s="13"/>
    </row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>
      <c r="A360" s="11"/>
    </row>
    <row r="361" ht="19.5" customHeight="1"/>
    <row r="362" ht="19.5" customHeight="1"/>
    <row r="363" ht="19.5" customHeight="1"/>
    <row r="364" ht="19.5" customHeight="1"/>
    <row r="365" ht="19.5" customHeight="1">
      <c r="A365" s="4"/>
    </row>
    <row r="366" ht="19.5" customHeight="1"/>
    <row r="367" ht="19.5" customHeight="1">
      <c r="A367" s="4"/>
    </row>
    <row r="368" ht="19.5" customHeight="1">
      <c r="A368" s="4"/>
    </row>
    <row r="369" ht="19.5" customHeight="1">
      <c r="A369" s="4"/>
    </row>
    <row r="370" ht="19.5" customHeight="1">
      <c r="A370" s="4"/>
    </row>
    <row r="371" ht="19.5" customHeight="1">
      <c r="A371" s="4"/>
    </row>
    <row r="372" ht="19.5" customHeight="1">
      <c r="A372" s="4"/>
    </row>
    <row r="373" ht="19.5" customHeight="1">
      <c r="A373" s="4"/>
    </row>
    <row r="374" ht="19.5" customHeight="1">
      <c r="A374" s="4"/>
    </row>
    <row r="375" ht="19.5" customHeight="1">
      <c r="A375" s="4"/>
    </row>
    <row r="376" ht="19.5" customHeight="1">
      <c r="A376" s="4"/>
    </row>
    <row r="377" ht="19.5" customHeight="1">
      <c r="A377" s="4"/>
    </row>
    <row r="378" ht="19.5" customHeight="1">
      <c r="A378" s="4"/>
    </row>
    <row r="379" ht="19.5" customHeight="1">
      <c r="A379" s="4"/>
    </row>
    <row r="380" ht="15">
      <c r="A380" s="4"/>
    </row>
    <row r="381" ht="15">
      <c r="A381" s="4"/>
    </row>
    <row r="382" ht="15">
      <c r="A382" s="4"/>
    </row>
    <row r="383" ht="15">
      <c r="A383" s="4"/>
    </row>
    <row r="384" ht="15">
      <c r="A384" s="4"/>
    </row>
    <row r="385" ht="15">
      <c r="A385" s="5"/>
    </row>
    <row r="386" ht="15">
      <c r="A386" s="10"/>
    </row>
    <row r="387" ht="15">
      <c r="A387" s="6"/>
    </row>
    <row r="388" ht="15">
      <c r="A388" s="9"/>
    </row>
    <row r="389" ht="13.5" thickBot="1">
      <c r="A389" s="7"/>
    </row>
    <row r="390" ht="13.5" thickTop="1"/>
  </sheetData>
  <printOptions horizontalCentered="1" verticalCentered="1"/>
  <pageMargins left="0" right="0" top="0" bottom="0" header="0" footer="0"/>
  <pageSetup fitToHeight="1" fitToWidth="1"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workbookViewId="0" topLeftCell="A1">
      <selection activeCell="D9" sqref="D9"/>
    </sheetView>
  </sheetViews>
  <sheetFormatPr defaultColWidth="9.140625" defaultRowHeight="12.75"/>
  <sheetData>
    <row r="1" ht="12.75" customHeight="1"/>
    <row r="2" ht="12.75" customHeight="1"/>
    <row r="64" ht="12.75" customHeight="1"/>
    <row r="76" ht="12.75" customHeight="1"/>
    <row r="77" ht="12.75" customHeight="1"/>
    <row r="78" ht="12.75" customHeight="1"/>
  </sheetData>
  <printOptions horizontalCentered="1" verticalCentered="1"/>
  <pageMargins left="0" right="0" top="0.07" bottom="0.13" header="0" footer="0"/>
  <pageSetup fitToHeight="1" fitToWidth="1"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60" workbookViewId="0" topLeftCell="A13">
      <selection activeCell="B46" sqref="B46"/>
    </sheetView>
  </sheetViews>
  <sheetFormatPr defaultColWidth="9.140625" defaultRowHeight="12.75"/>
  <cols>
    <col min="1" max="1" width="32.8515625" style="0" customWidth="1"/>
    <col min="2" max="2" width="38.140625" style="0" customWidth="1"/>
    <col min="3" max="3" width="0.71875" style="0" customWidth="1"/>
    <col min="4" max="4" width="20.00390625" style="0" customWidth="1"/>
    <col min="5" max="5" width="18.421875" style="0" customWidth="1"/>
  </cols>
  <sheetData>
    <row r="1" spans="8:12" ht="12.75">
      <c r="H1" s="280" t="s">
        <v>15</v>
      </c>
      <c r="I1" s="280"/>
      <c r="J1" s="280"/>
      <c r="K1" s="280"/>
      <c r="L1" s="280"/>
    </row>
    <row r="2" spans="1:5" ht="18">
      <c r="A2" s="264" t="s">
        <v>17</v>
      </c>
      <c r="B2" s="251" t="s">
        <v>154</v>
      </c>
      <c r="C2" s="264"/>
      <c r="D2" s="264"/>
      <c r="E2" s="264"/>
    </row>
    <row r="3" spans="1:5" ht="16.5">
      <c r="A3" s="273" t="s">
        <v>16</v>
      </c>
      <c r="B3" s="273"/>
      <c r="C3" s="273"/>
      <c r="D3" s="273"/>
      <c r="E3" s="273"/>
    </row>
    <row r="4" spans="1:5" ht="15">
      <c r="A4" s="281" t="str">
        <f>H$1</f>
        <v>PAY SLIP FOR THE XXXXXXXXX 2008</v>
      </c>
      <c r="B4" s="281"/>
      <c r="C4" s="281"/>
      <c r="D4" s="281"/>
      <c r="E4" s="281"/>
    </row>
    <row r="5" spans="1:5" ht="9.75" customHeight="1" thickBot="1">
      <c r="A5" s="102"/>
      <c r="B5" s="103"/>
      <c r="C5" s="102"/>
      <c r="D5" s="102"/>
      <c r="E5" s="115"/>
    </row>
    <row r="6" spans="1:5" ht="15" customHeight="1">
      <c r="A6" s="177" t="s">
        <v>109</v>
      </c>
      <c r="B6" s="282" t="str">
        <f>Paysheet!B5</f>
        <v>XXXXXXXX</v>
      </c>
      <c r="C6" s="282"/>
      <c r="D6" s="178" t="s">
        <v>108</v>
      </c>
      <c r="E6" s="219" t="str">
        <f>VLOOKUP(B6,Paysheet!B$4:X$5,4,FALSE)</f>
        <v>HO</v>
      </c>
    </row>
    <row r="7" spans="1:5" ht="15" customHeight="1">
      <c r="A7" s="179" t="s">
        <v>19</v>
      </c>
      <c r="B7" s="274" t="str">
        <f>VLOOKUP(B6,Paysheet!B$4:X$5,2,FALSE)</f>
        <v>Manager - Internal Aduit</v>
      </c>
      <c r="C7" s="274"/>
      <c r="D7" s="180" t="s">
        <v>125</v>
      </c>
      <c r="E7" s="220" t="str">
        <f>VLOOKUP(B6,Paysheet!B$4:X$5,5,FALSE)</f>
        <v>TN/MS/XXXX/01</v>
      </c>
    </row>
    <row r="8" spans="1:5" ht="15" customHeight="1">
      <c r="A8" s="179" t="s">
        <v>110</v>
      </c>
      <c r="B8" s="275">
        <f>VLOOKUP(B6,Paysheet!B$4:X$5,3,FALSE)</f>
        <v>39363</v>
      </c>
      <c r="C8" s="276"/>
      <c r="D8" s="180" t="s">
        <v>123</v>
      </c>
      <c r="E8" s="220">
        <f>VLOOKUP(B6,Paysheet!B$4:AD$20,29,FALSE)</f>
        <v>110012345</v>
      </c>
    </row>
    <row r="9" spans="1:5" ht="7.5" customHeight="1">
      <c r="A9" s="155"/>
      <c r="B9" s="156"/>
      <c r="C9" s="156"/>
      <c r="D9" s="153"/>
      <c r="E9" s="154"/>
    </row>
    <row r="10" spans="1:5" ht="15" customHeight="1">
      <c r="A10" s="277" t="s">
        <v>111</v>
      </c>
      <c r="B10" s="278"/>
      <c r="C10" s="181"/>
      <c r="D10" s="278" t="s">
        <v>112</v>
      </c>
      <c r="E10" s="279"/>
    </row>
    <row r="11" spans="1:5" ht="15" customHeight="1">
      <c r="A11" s="179" t="s">
        <v>52</v>
      </c>
      <c r="B11" s="218">
        <f>VLOOKUP(B6,Paysheet!B$4:AD$5,8,FALSE)</f>
        <v>7740</v>
      </c>
      <c r="C11" s="218"/>
      <c r="D11" s="180" t="s">
        <v>113</v>
      </c>
      <c r="E11" s="265">
        <f>VLOOKUP(B6,Paysheet!B$4:AD$5,15,FALSE)</f>
        <v>0.5</v>
      </c>
    </row>
    <row r="12" spans="1:5" ht="15" customHeight="1">
      <c r="A12" s="179" t="s">
        <v>53</v>
      </c>
      <c r="B12" s="218">
        <f>VLOOKUP(B6,Paysheet!B$4:AD$5,9,FALSE)</f>
        <v>5160</v>
      </c>
      <c r="C12" s="218"/>
      <c r="D12" s="180" t="s">
        <v>114</v>
      </c>
      <c r="E12" s="266">
        <f>VLOOKUP(B6,Paysheet!B$4:AD$5,16,FALSE)</f>
        <v>444.82758620689657</v>
      </c>
    </row>
    <row r="13" spans="1:5" ht="15" customHeight="1">
      <c r="A13" s="179" t="s">
        <v>115</v>
      </c>
      <c r="B13" s="218">
        <f>VLOOKUP(B6,Paysheet!B$4:AD$5,11,FALSE)</f>
        <v>5160</v>
      </c>
      <c r="C13" s="218"/>
      <c r="D13" s="180" t="s">
        <v>116</v>
      </c>
      <c r="E13" s="197">
        <f>VLOOKUP(B6,Paysheet!B$4:AD$5,17,FALSE)</f>
        <v>1548</v>
      </c>
    </row>
    <row r="14" spans="1:5" ht="15" customHeight="1">
      <c r="A14" s="179" t="s">
        <v>91</v>
      </c>
      <c r="B14" s="218">
        <f>VLOOKUP(B6,Paysheet!B$4:AD$5,12,FALSE)</f>
        <v>2580</v>
      </c>
      <c r="C14" s="218"/>
      <c r="D14" s="180" t="s">
        <v>117</v>
      </c>
      <c r="E14" s="197">
        <f>VLOOKUP(B6,Paysheet!B$4:AD$5,18,FALSE)</f>
        <v>1000</v>
      </c>
    </row>
    <row r="15" spans="1:5" ht="15" customHeight="1">
      <c r="A15" s="179" t="s">
        <v>118</v>
      </c>
      <c r="B15" s="218">
        <f>VLOOKUP(B6,Paysheet!B$4:AD$5,13,FALSE)</f>
        <v>5160</v>
      </c>
      <c r="C15" s="218"/>
      <c r="D15" s="180" t="s">
        <v>119</v>
      </c>
      <c r="E15" s="197">
        <f>VLOOKUP(B6,Paysheet!B$4:AD$5,19,FALSE)</f>
        <v>0</v>
      </c>
    </row>
    <row r="16" spans="1:5" ht="15" customHeight="1">
      <c r="A16" s="179" t="s">
        <v>120</v>
      </c>
      <c r="B16" s="218">
        <f>SUM(B11:B15)</f>
        <v>25800</v>
      </c>
      <c r="C16" s="183"/>
      <c r="D16" s="180" t="s">
        <v>56</v>
      </c>
      <c r="E16" s="197">
        <f>VLOOKUP(B6,Paysheet!B$4:AD$5,20,FALSE)</f>
        <v>0</v>
      </c>
    </row>
    <row r="17" spans="1:5" ht="15" customHeight="1">
      <c r="A17" s="184" t="s">
        <v>121</v>
      </c>
      <c r="B17" s="185">
        <v>0</v>
      </c>
      <c r="C17" s="186"/>
      <c r="D17" s="187" t="s">
        <v>87</v>
      </c>
      <c r="E17" s="197">
        <f>VLOOKUP(B6,Paysheet!B$4:AD$5,21,FALSE)</f>
        <v>0</v>
      </c>
    </row>
    <row r="18" spans="1:5" ht="7.5" customHeight="1">
      <c r="A18" s="157"/>
      <c r="B18" s="158"/>
      <c r="C18" s="159"/>
      <c r="D18" s="159"/>
      <c r="E18" s="160"/>
    </row>
    <row r="19" spans="1:5" ht="15" customHeight="1">
      <c r="A19" s="188" t="s">
        <v>75</v>
      </c>
      <c r="B19" s="189">
        <f>B16+B17</f>
        <v>25800</v>
      </c>
      <c r="C19" s="186"/>
      <c r="D19" s="190" t="s">
        <v>122</v>
      </c>
      <c r="E19" s="191">
        <f>ROUND(SUM(E12:E17),0)</f>
        <v>2993</v>
      </c>
    </row>
    <row r="20" spans="1:5" ht="7.5" customHeight="1">
      <c r="A20" s="192"/>
      <c r="B20" s="183"/>
      <c r="C20" s="186"/>
      <c r="D20" s="186"/>
      <c r="E20" s="193"/>
    </row>
    <row r="21" spans="1:5" ht="15" customHeight="1">
      <c r="A21" s="194"/>
      <c r="B21" s="182"/>
      <c r="C21" s="186"/>
      <c r="D21" s="190" t="s">
        <v>82</v>
      </c>
      <c r="E21" s="195">
        <f>B19-E19</f>
        <v>22807</v>
      </c>
    </row>
    <row r="22" spans="1:5" ht="12" customHeight="1">
      <c r="A22" s="174"/>
      <c r="B22" s="175"/>
      <c r="C22" s="176"/>
      <c r="D22" s="190" t="s">
        <v>88</v>
      </c>
      <c r="E22" s="267">
        <f>VLOOKUP(B6,Paysheet!B$4:AD$5,28,FALSE)</f>
        <v>0</v>
      </c>
    </row>
    <row r="23" spans="1:5" ht="9.75" customHeight="1">
      <c r="A23" s="161"/>
      <c r="B23" s="162"/>
      <c r="C23" s="163"/>
      <c r="D23" s="164"/>
      <c r="E23" s="165"/>
    </row>
    <row r="24" spans="1:5" ht="9.75" customHeight="1">
      <c r="A24" s="161"/>
      <c r="B24" s="162"/>
      <c r="C24" s="163"/>
      <c r="D24" s="164"/>
      <c r="E24" s="165"/>
    </row>
    <row r="25" spans="1:5" ht="12" customHeight="1">
      <c r="A25" s="161"/>
      <c r="B25" s="162"/>
      <c r="C25" s="163"/>
      <c r="D25" s="164"/>
      <c r="E25" s="165"/>
    </row>
    <row r="26" spans="1:5" ht="12.75">
      <c r="A26" s="166"/>
      <c r="B26" s="167"/>
      <c r="C26" s="168"/>
      <c r="D26" s="146"/>
      <c r="E26" s="169"/>
    </row>
    <row r="27" spans="1:5" ht="12.75">
      <c r="A27" s="166"/>
      <c r="B27" s="167"/>
      <c r="C27" s="168"/>
      <c r="D27" s="146"/>
      <c r="E27" s="169"/>
    </row>
    <row r="28" spans="1:5" ht="12.75">
      <c r="A28" s="166"/>
      <c r="B28" s="167"/>
      <c r="C28" s="168"/>
      <c r="D28" s="146"/>
      <c r="E28" s="169"/>
    </row>
    <row r="29" spans="1:5" ht="12.75">
      <c r="A29" s="166"/>
      <c r="B29" s="167"/>
      <c r="C29" s="168"/>
      <c r="D29" s="146"/>
      <c r="E29" s="169"/>
    </row>
    <row r="30" spans="1:5" ht="15" thickBot="1">
      <c r="A30" s="170"/>
      <c r="B30" s="171"/>
      <c r="C30" s="172"/>
      <c r="D30" s="173"/>
      <c r="E30" s="196" t="s">
        <v>124</v>
      </c>
    </row>
    <row r="33" spans="1:5" ht="15" customHeight="1">
      <c r="A33" s="264" t="s">
        <v>17</v>
      </c>
      <c r="B33" s="251" t="s">
        <v>154</v>
      </c>
      <c r="C33" s="264"/>
      <c r="D33" s="264"/>
      <c r="E33" s="264"/>
    </row>
    <row r="34" spans="1:5" ht="15" customHeight="1">
      <c r="A34" s="273" t="s">
        <v>16</v>
      </c>
      <c r="B34" s="273"/>
      <c r="C34" s="273"/>
      <c r="D34" s="273"/>
      <c r="E34" s="273"/>
    </row>
    <row r="35" spans="1:5" ht="15" customHeight="1">
      <c r="A35" s="281" t="str">
        <f>H$1</f>
        <v>PAY SLIP FOR THE XXXXXXXXX 2008</v>
      </c>
      <c r="B35" s="281"/>
      <c r="C35" s="281"/>
      <c r="D35" s="281"/>
      <c r="E35" s="281"/>
    </row>
    <row r="36" spans="1:5" ht="15" customHeight="1" thickBot="1">
      <c r="A36" s="102"/>
      <c r="B36" s="103"/>
      <c r="C36" s="102"/>
      <c r="D36" s="102"/>
      <c r="E36" s="115"/>
    </row>
    <row r="37" spans="1:5" ht="15" customHeight="1">
      <c r="A37" s="177" t="s">
        <v>109</v>
      </c>
      <c r="B37" s="282" t="str">
        <f>Paysheet!B6</f>
        <v>YYYYYYYY</v>
      </c>
      <c r="C37" s="282"/>
      <c r="D37" s="178" t="s">
        <v>108</v>
      </c>
      <c r="E37" s="219" t="str">
        <f>VLOOKUP(B37,Paysheet!B$4:X$20,4,FALSE)</f>
        <v>HO</v>
      </c>
    </row>
    <row r="38" spans="1:5" ht="15" customHeight="1">
      <c r="A38" s="179" t="s">
        <v>19</v>
      </c>
      <c r="B38" s="274" t="str">
        <f>VLOOKUP(B37,Paysheet!B$4:X$20,2,FALSE)</f>
        <v>Driver</v>
      </c>
      <c r="C38" s="274"/>
      <c r="D38" s="180" t="s">
        <v>125</v>
      </c>
      <c r="E38" s="220" t="str">
        <f>VLOOKUP(B37,Paysheet!B$4:X$20,5,FALSE)</f>
        <v>TN/MS/XXXX/02</v>
      </c>
    </row>
    <row r="39" spans="1:5" ht="15" customHeight="1">
      <c r="A39" s="179" t="s">
        <v>110</v>
      </c>
      <c r="B39" s="275">
        <f>VLOOKUP(B37,Paysheet!B$4:X$20,3,FALSE)</f>
        <v>39388</v>
      </c>
      <c r="C39" s="276"/>
      <c r="D39" s="180" t="s">
        <v>123</v>
      </c>
      <c r="E39" s="220" t="str">
        <f>VLOOKUP(B37,Paysheet!B$4:AD$20,29,FALSE)</f>
        <v>Cash</v>
      </c>
    </row>
    <row r="40" spans="1:5" ht="15" customHeight="1">
      <c r="A40" s="155"/>
      <c r="B40" s="156"/>
      <c r="C40" s="156"/>
      <c r="D40" s="153"/>
      <c r="E40" s="154"/>
    </row>
    <row r="41" spans="1:5" ht="15" customHeight="1">
      <c r="A41" s="277" t="s">
        <v>111</v>
      </c>
      <c r="B41" s="278"/>
      <c r="C41" s="181"/>
      <c r="D41" s="278" t="s">
        <v>112</v>
      </c>
      <c r="E41" s="279"/>
    </row>
    <row r="42" spans="1:5" ht="15" customHeight="1">
      <c r="A42" s="179" t="s">
        <v>52</v>
      </c>
      <c r="B42" s="218">
        <f>VLOOKUP(B37,Paysheet!B$4:AD$20,8,FALSE)</f>
        <v>1350</v>
      </c>
      <c r="C42" s="218"/>
      <c r="D42" s="180" t="s">
        <v>113</v>
      </c>
      <c r="E42" s="265">
        <f>VLOOKUP(B37,Paysheet!B$4:AD$20,15,FALSE)</f>
        <v>0</v>
      </c>
    </row>
    <row r="43" spans="1:5" ht="15" customHeight="1">
      <c r="A43" s="179" t="s">
        <v>53</v>
      </c>
      <c r="B43" s="218">
        <f>VLOOKUP(B37,Paysheet!B$4:AD$20,9,FALSE)</f>
        <v>900</v>
      </c>
      <c r="C43" s="218"/>
      <c r="D43" s="180" t="s">
        <v>114</v>
      </c>
      <c r="E43" s="266">
        <f>VLOOKUP(B37,Paysheet!B$4:AD$20,16,FALSE)</f>
        <v>0</v>
      </c>
    </row>
    <row r="44" spans="1:5" ht="15" customHeight="1">
      <c r="A44" s="179" t="s">
        <v>115</v>
      </c>
      <c r="B44" s="218">
        <f>VLOOKUP(B37,Paysheet!B$4:AD$20,11,FALSE)</f>
        <v>900</v>
      </c>
      <c r="C44" s="218"/>
      <c r="D44" s="180" t="s">
        <v>116</v>
      </c>
      <c r="E44" s="197">
        <f>VLOOKUP(B37,Paysheet!B$4:AD$20,17,FALSE)</f>
        <v>270</v>
      </c>
    </row>
    <row r="45" spans="1:5" ht="15" customHeight="1">
      <c r="A45" s="179" t="s">
        <v>91</v>
      </c>
      <c r="B45" s="218">
        <f>VLOOKUP(B37,Paysheet!B$4:AD$20,12,FALSE)</f>
        <v>450</v>
      </c>
      <c r="C45" s="218"/>
      <c r="D45" s="180" t="s">
        <v>117</v>
      </c>
      <c r="E45" s="197">
        <f>VLOOKUP(B37,Paysheet!B$4:AD$20,18,FALSE)</f>
        <v>0</v>
      </c>
    </row>
    <row r="46" spans="1:5" ht="15" customHeight="1">
      <c r="A46" s="179" t="s">
        <v>118</v>
      </c>
      <c r="B46" s="218">
        <f>VLOOKUP(B37,Paysheet!B$4:AD$20,13,FALSE)</f>
        <v>900</v>
      </c>
      <c r="C46" s="218"/>
      <c r="D46" s="180" t="s">
        <v>119</v>
      </c>
      <c r="E46" s="197">
        <f>VLOOKUP(B37,Paysheet!B$4:AD$20,19,FALSE)</f>
        <v>0</v>
      </c>
    </row>
    <row r="47" spans="1:5" ht="15" customHeight="1">
      <c r="A47" s="179" t="s">
        <v>120</v>
      </c>
      <c r="B47" s="218">
        <f>SUM(B42:B46)</f>
        <v>4500</v>
      </c>
      <c r="C47" s="183"/>
      <c r="D47" s="180" t="s">
        <v>56</v>
      </c>
      <c r="E47" s="197">
        <f>VLOOKUP(B37,Paysheet!B$4:AD$20,20,FALSE)</f>
        <v>0</v>
      </c>
    </row>
    <row r="48" spans="1:5" ht="15" customHeight="1">
      <c r="A48" s="184" t="s">
        <v>121</v>
      </c>
      <c r="B48" s="185">
        <v>0</v>
      </c>
      <c r="C48" s="186"/>
      <c r="D48" s="187" t="s">
        <v>87</v>
      </c>
      <c r="E48" s="197">
        <f>VLOOKUP(B37,Paysheet!B$4:AD$20,21,FALSE)</f>
        <v>0</v>
      </c>
    </row>
    <row r="49" spans="1:5" ht="15" customHeight="1">
      <c r="A49" s="157"/>
      <c r="B49" s="158"/>
      <c r="C49" s="159"/>
      <c r="D49" s="159"/>
      <c r="E49" s="160"/>
    </row>
    <row r="50" spans="1:5" ht="15" customHeight="1">
      <c r="A50" s="188" t="s">
        <v>75</v>
      </c>
      <c r="B50" s="189">
        <f>B47+B48</f>
        <v>4500</v>
      </c>
      <c r="C50" s="186"/>
      <c r="D50" s="190" t="s">
        <v>122</v>
      </c>
      <c r="E50" s="191">
        <f>ROUND(SUM(E43:E48),0)</f>
        <v>270</v>
      </c>
    </row>
    <row r="51" spans="1:5" ht="15" customHeight="1">
      <c r="A51" s="192"/>
      <c r="B51" s="183"/>
      <c r="C51" s="186"/>
      <c r="D51" s="186"/>
      <c r="E51" s="193"/>
    </row>
    <row r="52" spans="1:5" ht="15" customHeight="1">
      <c r="A52" s="194"/>
      <c r="B52" s="182"/>
      <c r="C52" s="186"/>
      <c r="D52" s="190" t="s">
        <v>82</v>
      </c>
      <c r="E52" s="195">
        <f>B50-E50</f>
        <v>4230</v>
      </c>
    </row>
    <row r="53" spans="1:5" ht="15" customHeight="1">
      <c r="A53" s="174"/>
      <c r="B53" s="175"/>
      <c r="C53" s="176"/>
      <c r="D53" s="190" t="s">
        <v>88</v>
      </c>
      <c r="E53" s="267">
        <f>VLOOKUP(B37,Paysheet!B$4:AD$20,28,FALSE)</f>
        <v>0</v>
      </c>
    </row>
    <row r="54" spans="1:5" ht="15" customHeight="1">
      <c r="A54" s="161"/>
      <c r="B54" s="162"/>
      <c r="C54" s="163"/>
      <c r="D54" s="164"/>
      <c r="E54" s="165"/>
    </row>
    <row r="55" spans="1:5" ht="15" customHeight="1">
      <c r="A55" s="161"/>
      <c r="B55" s="162"/>
      <c r="C55" s="163"/>
      <c r="D55" s="164"/>
      <c r="E55" s="165"/>
    </row>
    <row r="56" spans="1:5" ht="15" customHeight="1">
      <c r="A56" s="161"/>
      <c r="B56" s="162"/>
      <c r="C56" s="163"/>
      <c r="D56" s="164"/>
      <c r="E56" s="165"/>
    </row>
    <row r="57" spans="1:5" ht="15" customHeight="1">
      <c r="A57" s="166"/>
      <c r="B57" s="167"/>
      <c r="C57" s="168"/>
      <c r="D57" s="146"/>
      <c r="E57" s="169"/>
    </row>
    <row r="58" spans="1:5" ht="15" customHeight="1">
      <c r="A58" s="166"/>
      <c r="B58" s="167"/>
      <c r="C58" s="168"/>
      <c r="D58" s="146"/>
      <c r="E58" s="169"/>
    </row>
    <row r="59" spans="1:5" ht="15" customHeight="1">
      <c r="A59" s="166"/>
      <c r="B59" s="167"/>
      <c r="C59" s="168"/>
      <c r="D59" s="146"/>
      <c r="E59" s="169"/>
    </row>
    <row r="60" spans="1:5" ht="15" customHeight="1">
      <c r="A60" s="166"/>
      <c r="B60" s="167"/>
      <c r="C60" s="168"/>
      <c r="D60" s="146"/>
      <c r="E60" s="169"/>
    </row>
    <row r="61" spans="1:5" ht="15" customHeight="1" thickBot="1">
      <c r="A61" s="170"/>
      <c r="B61" s="171"/>
      <c r="C61" s="172"/>
      <c r="D61" s="173"/>
      <c r="E61" s="196" t="s">
        <v>124</v>
      </c>
    </row>
  </sheetData>
  <mergeCells count="15">
    <mergeCell ref="A41:B41"/>
    <mergeCell ref="D41:E41"/>
    <mergeCell ref="A35:E35"/>
    <mergeCell ref="B39:C39"/>
    <mergeCell ref="B37:C37"/>
    <mergeCell ref="H1:L1"/>
    <mergeCell ref="A3:E3"/>
    <mergeCell ref="A4:E4"/>
    <mergeCell ref="B6:C6"/>
    <mergeCell ref="A34:E34"/>
    <mergeCell ref="B38:C38"/>
    <mergeCell ref="B7:C7"/>
    <mergeCell ref="B8:C8"/>
    <mergeCell ref="A10:B10"/>
    <mergeCell ref="D10:E10"/>
  </mergeCells>
  <printOptions/>
  <pageMargins left="0.25" right="0.25" top="0.5" bottom="0" header="0.25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Normal="85" workbookViewId="0" topLeftCell="A1">
      <selection activeCell="I43" sqref="I43"/>
    </sheetView>
  </sheetViews>
  <sheetFormatPr defaultColWidth="9.140625" defaultRowHeight="12.75"/>
  <cols>
    <col min="1" max="2" width="9.140625" style="2" customWidth="1"/>
    <col min="3" max="3" width="10.57421875" style="2" bestFit="1" customWidth="1"/>
    <col min="4" max="4" width="9.140625" style="85" customWidth="1"/>
    <col min="5" max="5" width="2.140625" style="85" customWidth="1"/>
    <col min="6" max="8" width="9.140625" style="2" customWidth="1"/>
    <col min="9" max="9" width="13.28125" style="2" customWidth="1"/>
    <col min="10" max="10" width="10.57421875" style="2" customWidth="1"/>
  </cols>
  <sheetData>
    <row r="1" spans="1:10" ht="15.75">
      <c r="A1" s="94" t="s">
        <v>129</v>
      </c>
      <c r="D1" s="83"/>
      <c r="E1" s="83"/>
      <c r="F1" s="146"/>
      <c r="G1" s="146"/>
      <c r="H1" s="123"/>
      <c r="I1" s="123"/>
      <c r="J1" s="123"/>
    </row>
    <row r="2" spans="1:10" ht="15.75">
      <c r="A2" s="94"/>
      <c r="D2" s="83"/>
      <c r="E2" s="83"/>
      <c r="F2" s="146"/>
      <c r="G2" s="146"/>
      <c r="H2" s="123"/>
      <c r="I2" s="123"/>
      <c r="J2" s="123"/>
    </row>
    <row r="3" spans="1:10" ht="15.75">
      <c r="A3" s="94" t="s">
        <v>134</v>
      </c>
      <c r="D3" s="83"/>
      <c r="E3" s="83"/>
      <c r="F3" s="146"/>
      <c r="G3" s="146"/>
      <c r="H3" s="123"/>
      <c r="I3" s="123"/>
      <c r="J3" s="123"/>
    </row>
    <row r="4" spans="6:10" ht="12.75">
      <c r="F4" s="146"/>
      <c r="G4" s="146"/>
      <c r="H4" s="123"/>
      <c r="I4" s="123"/>
      <c r="J4" s="123"/>
    </row>
    <row r="5" spans="1:10" ht="12.75">
      <c r="A5" s="74" t="s">
        <v>74</v>
      </c>
      <c r="B5" s="221"/>
      <c r="C5" s="31"/>
      <c r="D5" s="81"/>
      <c r="E5" s="81"/>
      <c r="F5" s="31" t="s">
        <v>76</v>
      </c>
      <c r="G5" s="31"/>
      <c r="H5" s="222"/>
      <c r="I5" s="222"/>
      <c r="J5" s="88" t="s">
        <v>5</v>
      </c>
    </row>
    <row r="6" spans="1:12" ht="12.75">
      <c r="A6" s="75"/>
      <c r="B6" s="221"/>
      <c r="C6" s="221"/>
      <c r="D6" s="81"/>
      <c r="E6" s="81"/>
      <c r="F6" s="87" t="s">
        <v>3</v>
      </c>
      <c r="G6" s="87"/>
      <c r="H6" s="221"/>
      <c r="I6" s="221"/>
      <c r="J6" s="88">
        <v>100600</v>
      </c>
      <c r="L6" s="3"/>
    </row>
    <row r="7" spans="1:10" ht="12.75">
      <c r="A7" s="65" t="s">
        <v>52</v>
      </c>
      <c r="B7" s="221"/>
      <c r="C7" s="223">
        <f>Paysheet!I14</f>
        <v>32280</v>
      </c>
      <c r="D7" s="82"/>
      <c r="E7" s="82"/>
      <c r="F7" s="89" t="s">
        <v>71</v>
      </c>
      <c r="G7" s="89"/>
      <c r="H7" s="224"/>
      <c r="I7" s="224"/>
      <c r="J7" s="221"/>
    </row>
    <row r="8" spans="1:10" ht="12.75">
      <c r="A8" s="65" t="s">
        <v>53</v>
      </c>
      <c r="B8" s="221"/>
      <c r="C8" s="223">
        <f>Paysheet!J14</f>
        <v>21520</v>
      </c>
      <c r="D8" s="80"/>
      <c r="E8" s="80"/>
      <c r="F8" s="252" t="s">
        <v>152</v>
      </c>
      <c r="G8" s="14"/>
      <c r="H8" s="14"/>
      <c r="I8" s="30">
        <v>8000</v>
      </c>
      <c r="J8" s="14"/>
    </row>
    <row r="9" spans="1:12" ht="12.75">
      <c r="A9" s="75" t="s">
        <v>73</v>
      </c>
      <c r="B9" s="31"/>
      <c r="C9" s="76">
        <f>SUM(C7:C8)</f>
        <v>53800</v>
      </c>
      <c r="D9" s="80"/>
      <c r="E9" s="80"/>
      <c r="F9" s="252" t="s">
        <v>171</v>
      </c>
      <c r="G9" s="14"/>
      <c r="H9" s="14"/>
      <c r="I9" s="30">
        <v>8000</v>
      </c>
      <c r="J9" s="14"/>
      <c r="L9" s="3"/>
    </row>
    <row r="10" spans="1:10" ht="12.75">
      <c r="A10" s="65"/>
      <c r="B10" s="221"/>
      <c r="C10" s="225"/>
      <c r="D10" s="80"/>
      <c r="E10" s="80"/>
      <c r="F10" s="114"/>
      <c r="G10" s="14"/>
      <c r="H10" s="14"/>
      <c r="I10" s="30"/>
      <c r="J10" s="14"/>
    </row>
    <row r="11" spans="1:10" ht="12.75">
      <c r="A11" s="75" t="s">
        <v>60</v>
      </c>
      <c r="B11" s="221"/>
      <c r="C11" s="225"/>
      <c r="D11" s="80"/>
      <c r="E11" s="80"/>
      <c r="F11" s="14"/>
      <c r="G11" s="14"/>
      <c r="H11" s="14"/>
      <c r="I11" s="30" t="s">
        <v>80</v>
      </c>
      <c r="J11" s="260">
        <f>SUM(I8:I10)</f>
        <v>16000</v>
      </c>
    </row>
    <row r="12" spans="1:10" ht="12.75">
      <c r="A12" s="92"/>
      <c r="B12" s="226"/>
      <c r="C12" s="227"/>
      <c r="D12" s="81"/>
      <c r="E12" s="81"/>
      <c r="F12" s="89" t="s">
        <v>70</v>
      </c>
      <c r="G12" s="90"/>
      <c r="H12" s="222"/>
      <c r="I12" s="222"/>
      <c r="J12" s="14"/>
    </row>
    <row r="13" spans="1:10" ht="12.75">
      <c r="A13" s="93"/>
      <c r="B13" s="228"/>
      <c r="C13" s="229"/>
      <c r="D13" s="81"/>
      <c r="E13" s="81"/>
      <c r="F13" s="14" t="s">
        <v>6</v>
      </c>
      <c r="G13" s="221"/>
      <c r="H13" s="221"/>
      <c r="I13" s="14">
        <v>4000</v>
      </c>
      <c r="J13" s="14"/>
    </row>
    <row r="14" spans="1:10" ht="12.75">
      <c r="A14" s="77" t="s">
        <v>22</v>
      </c>
      <c r="B14" s="221"/>
      <c r="C14" s="223">
        <f>Paysheet!L14</f>
        <v>21520</v>
      </c>
      <c r="D14" s="81"/>
      <c r="E14" s="81"/>
      <c r="F14" s="230" t="s">
        <v>7</v>
      </c>
      <c r="G14" s="14"/>
      <c r="H14" s="14"/>
      <c r="I14" s="14">
        <v>5000</v>
      </c>
      <c r="J14" s="31"/>
    </row>
    <row r="15" spans="1:10" ht="12.75">
      <c r="A15" s="114" t="s">
        <v>137</v>
      </c>
      <c r="B15" s="221"/>
      <c r="C15" s="223">
        <f>Paysheet!M14</f>
        <v>10760</v>
      </c>
      <c r="D15" s="82"/>
      <c r="E15" s="82"/>
      <c r="F15" s="14"/>
      <c r="G15" s="14"/>
      <c r="H15" s="14"/>
      <c r="I15" s="14"/>
      <c r="J15" s="14"/>
    </row>
    <row r="16" spans="1:10" ht="12.75">
      <c r="A16" s="65" t="s">
        <v>90</v>
      </c>
      <c r="B16" s="221"/>
      <c r="C16" s="223">
        <f>Paysheet!N14</f>
        <v>21520</v>
      </c>
      <c r="D16" s="82"/>
      <c r="E16" s="82"/>
      <c r="F16" s="14"/>
      <c r="G16" s="14"/>
      <c r="H16" s="14"/>
      <c r="I16" s="30" t="s">
        <v>79</v>
      </c>
      <c r="J16" s="31">
        <f>SUM(I13:I15)</f>
        <v>9000</v>
      </c>
    </row>
    <row r="17" spans="1:10" ht="12.75">
      <c r="A17" s="75" t="s">
        <v>73</v>
      </c>
      <c r="B17" s="221"/>
      <c r="C17" s="76">
        <f>SUM(C14:C16)</f>
        <v>53800</v>
      </c>
      <c r="D17" s="80"/>
      <c r="E17" s="80"/>
      <c r="F17" s="31" t="s">
        <v>4</v>
      </c>
      <c r="G17" s="14"/>
      <c r="H17" s="14"/>
      <c r="I17" s="14"/>
      <c r="J17" s="14"/>
    </row>
    <row r="18" spans="1:10" ht="12.75">
      <c r="A18" s="78" t="s">
        <v>48</v>
      </c>
      <c r="B18" s="31"/>
      <c r="C18" s="76">
        <f>C17+C9</f>
        <v>107600</v>
      </c>
      <c r="F18" s="14"/>
      <c r="G18" s="14"/>
      <c r="H18" s="14"/>
      <c r="I18" s="30"/>
      <c r="J18" s="31"/>
    </row>
    <row r="19" spans="1:10" ht="12.75">
      <c r="A19" s="31"/>
      <c r="B19" s="221"/>
      <c r="C19" s="225"/>
      <c r="D19" s="80"/>
      <c r="E19" s="80"/>
      <c r="F19" s="14"/>
      <c r="G19" s="14"/>
      <c r="H19" s="14"/>
      <c r="I19" s="30"/>
      <c r="J19" s="14"/>
    </row>
    <row r="20" spans="1:10" ht="12.75">
      <c r="A20" s="31" t="s">
        <v>61</v>
      </c>
      <c r="B20" s="221"/>
      <c r="C20" s="221"/>
      <c r="D20" s="81"/>
      <c r="E20" s="81"/>
      <c r="F20" s="14"/>
      <c r="G20" s="14"/>
      <c r="H20" s="14"/>
      <c r="I20" s="30"/>
      <c r="J20" s="14"/>
    </row>
    <row r="21" spans="1:10" ht="12.75">
      <c r="A21" s="31"/>
      <c r="B21" s="221"/>
      <c r="C21" s="225"/>
      <c r="D21" s="81"/>
      <c r="E21" s="81"/>
      <c r="F21" s="14"/>
      <c r="G21" s="14"/>
      <c r="H21" s="14"/>
      <c r="I21" s="30"/>
      <c r="J21" s="14"/>
    </row>
    <row r="22" spans="1:10" ht="12.75">
      <c r="A22" s="79" t="s">
        <v>54</v>
      </c>
      <c r="B22" s="221"/>
      <c r="C22" s="223">
        <v>0</v>
      </c>
      <c r="D22" s="82"/>
      <c r="E22" s="82"/>
      <c r="F22" s="14"/>
      <c r="G22" s="14"/>
      <c r="H22" s="14"/>
      <c r="I22" s="14"/>
      <c r="J22" s="14"/>
    </row>
    <row r="23" spans="1:10" ht="12.75">
      <c r="A23" s="75" t="s">
        <v>73</v>
      </c>
      <c r="B23" s="221"/>
      <c r="C23" s="76">
        <f>SUM(C22:C22)</f>
        <v>0</v>
      </c>
      <c r="D23" s="81"/>
      <c r="E23" s="81"/>
      <c r="F23" s="14"/>
      <c r="G23" s="14"/>
      <c r="H23" s="14"/>
      <c r="I23" s="30" t="s">
        <v>80</v>
      </c>
      <c r="J23" s="14">
        <f>SUM(I18:I23)</f>
        <v>0</v>
      </c>
    </row>
    <row r="24" spans="1:10" ht="12.75">
      <c r="A24" s="75" t="s">
        <v>2</v>
      </c>
      <c r="B24" s="221"/>
      <c r="C24" s="76">
        <f>C23+C18</f>
        <v>107600</v>
      </c>
      <c r="D24" s="80"/>
      <c r="E24" s="80"/>
      <c r="F24" s="14"/>
      <c r="G24" s="14"/>
      <c r="H24" s="14"/>
      <c r="I24" s="30"/>
      <c r="J24" s="14"/>
    </row>
    <row r="25" spans="1:10" ht="12.75">
      <c r="A25" s="222"/>
      <c r="B25" s="221"/>
      <c r="C25" s="223"/>
      <c r="D25" s="80"/>
      <c r="E25" s="80"/>
      <c r="F25" s="31" t="s">
        <v>135</v>
      </c>
      <c r="G25" s="31"/>
      <c r="H25" s="221"/>
      <c r="I25" s="221"/>
      <c r="J25" s="91">
        <f>J6+J11-J16+J23</f>
        <v>107600</v>
      </c>
    </row>
    <row r="26" spans="1:6" ht="12.75">
      <c r="A26" s="75" t="s">
        <v>62</v>
      </c>
      <c r="B26" s="221"/>
      <c r="C26" s="225"/>
      <c r="D26" s="81"/>
      <c r="E26" s="81"/>
      <c r="F26" s="105"/>
    </row>
    <row r="27" spans="1:10" ht="12.75">
      <c r="A27" s="222"/>
      <c r="B27" s="221"/>
      <c r="C27" s="225"/>
      <c r="D27" s="81"/>
      <c r="E27" s="81"/>
      <c r="J27" s="86">
        <f>C24-J25</f>
        <v>0</v>
      </c>
    </row>
    <row r="28" spans="1:12" ht="12.75">
      <c r="A28" s="222" t="s">
        <v>58</v>
      </c>
      <c r="B28" s="221"/>
      <c r="C28" s="223">
        <f>Paysheet!Q14</f>
        <v>4858.620689655172</v>
      </c>
      <c r="D28" s="81"/>
      <c r="E28" s="81"/>
      <c r="F28" s="86"/>
      <c r="G28" s="86"/>
      <c r="L28" s="3"/>
    </row>
    <row r="29" spans="1:12" ht="12.75">
      <c r="A29" s="231" t="s">
        <v>25</v>
      </c>
      <c r="B29" s="221"/>
      <c r="C29" s="223">
        <f>Paysheet!R14</f>
        <v>6456</v>
      </c>
      <c r="D29" s="81"/>
      <c r="E29" s="81"/>
      <c r="F29" s="86"/>
      <c r="K29" s="3"/>
      <c r="L29" s="3"/>
    </row>
    <row r="30" spans="1:12" ht="12.75">
      <c r="A30" s="222" t="s">
        <v>55</v>
      </c>
      <c r="B30" s="221"/>
      <c r="C30" s="223">
        <f>Paysheet!S14</f>
        <v>6500</v>
      </c>
      <c r="D30" s="81"/>
      <c r="E30" s="81"/>
      <c r="K30" s="3"/>
      <c r="L30" s="3"/>
    </row>
    <row r="31" spans="1:12" ht="12.75">
      <c r="A31" s="222" t="s">
        <v>57</v>
      </c>
      <c r="B31" s="221"/>
      <c r="C31" s="223">
        <f>Paysheet!T14</f>
        <v>0</v>
      </c>
      <c r="D31" s="81"/>
      <c r="E31" s="81"/>
      <c r="K31" s="3"/>
      <c r="L31" s="3"/>
    </row>
    <row r="32" spans="1:5" ht="12.75">
      <c r="A32" s="222" t="s">
        <v>56</v>
      </c>
      <c r="B32" s="221"/>
      <c r="C32" s="223">
        <f>Paysheet!U14</f>
        <v>140</v>
      </c>
      <c r="D32" s="82"/>
      <c r="E32" s="82"/>
    </row>
    <row r="33" spans="1:6" ht="12.75">
      <c r="A33" s="222" t="s">
        <v>87</v>
      </c>
      <c r="B33" s="14"/>
      <c r="C33" s="223">
        <f>Paysheet!V14</f>
        <v>4000</v>
      </c>
      <c r="D33" s="82"/>
      <c r="E33" s="82"/>
      <c r="F33" s="104"/>
    </row>
    <row r="34" spans="1:10" ht="12.75">
      <c r="A34" s="75" t="s">
        <v>59</v>
      </c>
      <c r="B34" s="31"/>
      <c r="C34" s="76">
        <f>SUM(C28:C33)</f>
        <v>21954.620689655174</v>
      </c>
      <c r="D34" s="82"/>
      <c r="E34" s="82"/>
      <c r="I34" s="95"/>
      <c r="J34" s="104"/>
    </row>
    <row r="35" spans="1:5" ht="12.75">
      <c r="A35" s="75"/>
      <c r="B35" s="31"/>
      <c r="C35" s="76"/>
      <c r="D35" s="82"/>
      <c r="E35" s="82"/>
    </row>
    <row r="36" spans="1:5" ht="12.75">
      <c r="A36" s="75" t="s">
        <v>46</v>
      </c>
      <c r="B36" s="31"/>
      <c r="C36" s="76">
        <f>C24-C34</f>
        <v>85645.37931034483</v>
      </c>
      <c r="D36" s="80"/>
      <c r="E36" s="80"/>
    </row>
    <row r="37" spans="4:10" ht="12.75">
      <c r="D37" s="80"/>
      <c r="E37" s="80"/>
      <c r="J37" s="86"/>
    </row>
    <row r="38" spans="4:10" ht="12.75">
      <c r="D38" s="80"/>
      <c r="E38" s="80"/>
      <c r="J38" s="86"/>
    </row>
    <row r="39" spans="1:5" ht="12.75">
      <c r="A39" s="39" t="s">
        <v>81</v>
      </c>
      <c r="B39" s="146"/>
      <c r="C39" s="232"/>
      <c r="D39" s="80"/>
      <c r="E39" s="80"/>
    </row>
    <row r="40" spans="1:5" ht="12.75">
      <c r="A40" s="39" t="s">
        <v>8</v>
      </c>
      <c r="B40" s="146"/>
      <c r="C40" s="96">
        <v>9</v>
      </c>
      <c r="D40" s="80"/>
      <c r="E40" s="80"/>
    </row>
    <row r="41" spans="2:5" ht="12.75">
      <c r="B41" s="146"/>
      <c r="C41" s="232"/>
      <c r="D41" s="80"/>
      <c r="E41" s="80"/>
    </row>
    <row r="42" spans="1:5" ht="12.75">
      <c r="A42" s="39" t="s">
        <v>78</v>
      </c>
      <c r="B42" s="95" t="s">
        <v>80</v>
      </c>
      <c r="C42" s="164">
        <v>2</v>
      </c>
      <c r="D42" s="80"/>
      <c r="E42" s="80"/>
    </row>
    <row r="43" spans="1:5" ht="12.75">
      <c r="A43" s="123"/>
      <c r="B43" s="95"/>
      <c r="C43" s="164"/>
      <c r="D43" s="80"/>
      <c r="E43" s="80"/>
    </row>
    <row r="44" spans="1:5" ht="12.75">
      <c r="A44" s="39" t="s">
        <v>70</v>
      </c>
      <c r="B44" s="95" t="s">
        <v>79</v>
      </c>
      <c r="C44" s="164">
        <v>2</v>
      </c>
      <c r="D44" s="80"/>
      <c r="E44" s="80"/>
    </row>
    <row r="45" spans="1:3" ht="12.75">
      <c r="A45" s="73"/>
      <c r="B45" s="98"/>
      <c r="C45" s="72"/>
    </row>
    <row r="46" spans="1:3" ht="12.75">
      <c r="A46" s="39" t="s">
        <v>81</v>
      </c>
      <c r="B46" s="146"/>
      <c r="C46" s="95"/>
    </row>
    <row r="47" spans="1:3" ht="12.75">
      <c r="A47" s="39" t="s">
        <v>9</v>
      </c>
      <c r="B47" s="146"/>
      <c r="C47" s="97">
        <f>C40+C42-C44</f>
        <v>9</v>
      </c>
    </row>
  </sheetData>
  <printOptions horizontalCentered="1"/>
  <pageMargins left="0.01" right="0.01" top="0.5" bottom="0.5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1"/>
  <dimension ref="A1:F37"/>
  <sheetViews>
    <sheetView view="pageBreakPreview" zoomScaleSheetLayoutView="100" workbookViewId="0" topLeftCell="B1">
      <selection activeCell="C36" sqref="C36"/>
    </sheetView>
  </sheetViews>
  <sheetFormatPr defaultColWidth="9.140625" defaultRowHeight="12.75"/>
  <cols>
    <col min="1" max="1" width="10.421875" style="55" hidden="1" customWidth="1"/>
    <col min="2" max="2" width="15.57421875" style="55" customWidth="1"/>
    <col min="3" max="3" width="33.8515625" style="55" customWidth="1"/>
    <col min="4" max="4" width="28.28125" style="55" hidden="1" customWidth="1"/>
    <col min="5" max="5" width="14.421875" style="55" customWidth="1"/>
    <col min="6" max="6" width="9.57421875" style="55" customWidth="1"/>
    <col min="7" max="7" width="10.00390625" style="55" customWidth="1"/>
    <col min="8" max="8" width="12.28125" style="55" bestFit="1" customWidth="1"/>
    <col min="9" max="16384" width="9.140625" style="55" customWidth="1"/>
  </cols>
  <sheetData>
    <row r="1" spans="1:6" ht="19.5" customHeight="1">
      <c r="A1" s="16"/>
      <c r="B1" s="16"/>
      <c r="C1" s="68" t="s">
        <v>10</v>
      </c>
      <c r="D1" s="16"/>
      <c r="E1" s="16"/>
      <c r="F1" s="16"/>
    </row>
    <row r="2" spans="1:6" ht="19.5" customHeight="1">
      <c r="A2" s="17"/>
      <c r="B2" s="17"/>
      <c r="C2" s="27" t="s">
        <v>33</v>
      </c>
      <c r="D2" s="17"/>
      <c r="E2" s="17"/>
      <c r="F2" s="17"/>
    </row>
    <row r="3" spans="1:6" ht="19.5" customHeight="1">
      <c r="A3" s="17"/>
      <c r="B3" s="17"/>
      <c r="C3" s="20" t="s">
        <v>95</v>
      </c>
      <c r="D3" s="17"/>
      <c r="E3" s="17"/>
      <c r="F3" s="17"/>
    </row>
    <row r="4" spans="1:6" ht="19.5" customHeight="1">
      <c r="A4" s="17"/>
      <c r="B4" s="17"/>
      <c r="C4" s="20"/>
      <c r="D4" s="17"/>
      <c r="E4" s="17"/>
      <c r="F4" s="17"/>
    </row>
    <row r="5" spans="1:6" s="15" customFormat="1" ht="19.5" customHeight="1">
      <c r="A5" s="22"/>
      <c r="B5" s="25" t="s">
        <v>49</v>
      </c>
      <c r="C5" s="25" t="s">
        <v>28</v>
      </c>
      <c r="D5" s="25" t="s">
        <v>30</v>
      </c>
      <c r="E5" s="25" t="s">
        <v>34</v>
      </c>
      <c r="F5" s="22"/>
    </row>
    <row r="6" spans="1:6" ht="19.5" customHeight="1">
      <c r="A6" s="17"/>
      <c r="B6" s="23"/>
      <c r="C6" s="17"/>
      <c r="D6" s="17"/>
      <c r="E6" s="23"/>
      <c r="F6" s="17"/>
    </row>
    <row r="7" spans="1:6" ht="19.5" customHeight="1">
      <c r="A7" s="17"/>
      <c r="B7" s="18">
        <v>1</v>
      </c>
      <c r="C7" s="259" t="s">
        <v>146</v>
      </c>
      <c r="D7" s="17" t="s">
        <v>41</v>
      </c>
      <c r="E7" s="29">
        <f>' Cash'!C6</f>
        <v>4230</v>
      </c>
      <c r="F7" s="17"/>
    </row>
    <row r="8" spans="1:6" ht="19.5" customHeight="1">
      <c r="A8" s="17"/>
      <c r="B8" s="23">
        <f>B7+1</f>
        <v>2</v>
      </c>
      <c r="C8" s="259" t="s">
        <v>148</v>
      </c>
      <c r="D8" s="16"/>
      <c r="E8" s="29">
        <f>' Cash'!C7</f>
        <v>7020</v>
      </c>
      <c r="F8" s="17"/>
    </row>
    <row r="9" spans="1:6" ht="19.5" customHeight="1">
      <c r="A9" s="17"/>
      <c r="B9" s="23">
        <f>B8+1</f>
        <v>3</v>
      </c>
      <c r="C9" s="259" t="s">
        <v>152</v>
      </c>
      <c r="D9" s="16"/>
      <c r="E9" s="29">
        <f>' Cash'!C8</f>
        <v>6140.689655172414</v>
      </c>
      <c r="F9" s="17"/>
    </row>
    <row r="10" spans="1:6" ht="19.5" customHeight="1">
      <c r="A10" s="17"/>
      <c r="B10" s="23">
        <f>B9+1</f>
        <v>4</v>
      </c>
      <c r="C10" s="259" t="s">
        <v>171</v>
      </c>
      <c r="D10" s="16"/>
      <c r="E10" s="29">
        <f>' Cash'!C9</f>
        <v>4485.51724137931</v>
      </c>
      <c r="F10" s="17"/>
    </row>
    <row r="11" spans="1:6" ht="19.5" customHeight="1" thickBot="1">
      <c r="A11" s="17"/>
      <c r="B11" s="24">
        <f>B10</f>
        <v>4</v>
      </c>
      <c r="C11" s="25" t="s">
        <v>27</v>
      </c>
      <c r="D11" s="17"/>
      <c r="E11" s="28">
        <f>SUM(E7:E10)</f>
        <v>21876.206896551725</v>
      </c>
      <c r="F11" s="17"/>
    </row>
    <row r="12" spans="1:6" ht="19.5" customHeight="1" thickTop="1">
      <c r="A12" s="17"/>
      <c r="B12" s="23"/>
      <c r="C12" s="17" t="s">
        <v>23</v>
      </c>
      <c r="D12" s="17"/>
      <c r="E12" s="18"/>
      <c r="F12" s="17"/>
    </row>
    <row r="13" spans="1:6" ht="19.5" customHeight="1">
      <c r="A13" s="17"/>
      <c r="B13" s="25">
        <f>B11</f>
        <v>4</v>
      </c>
      <c r="C13" s="22"/>
      <c r="D13" s="22"/>
      <c r="E13" s="57">
        <f>E11</f>
        <v>21876.206896551725</v>
      </c>
      <c r="F13" s="17"/>
    </row>
    <row r="14" spans="1:6" ht="19.5" customHeight="1">
      <c r="A14" s="17"/>
      <c r="B14" s="23"/>
      <c r="C14" s="17"/>
      <c r="D14" s="17"/>
      <c r="E14" s="18"/>
      <c r="F14" s="17"/>
    </row>
    <row r="15" spans="1:6" ht="19.5" customHeight="1">
      <c r="A15" s="16"/>
      <c r="B15" s="19"/>
      <c r="C15" s="68" t="s">
        <v>10</v>
      </c>
      <c r="D15" s="19"/>
      <c r="E15" s="19"/>
      <c r="F15" s="17"/>
    </row>
    <row r="16" spans="1:6" ht="19.5" customHeight="1">
      <c r="A16" s="16"/>
      <c r="B16" s="16"/>
      <c r="C16" s="20" t="s">
        <v>33</v>
      </c>
      <c r="D16" s="21"/>
      <c r="E16" s="18"/>
      <c r="F16" s="17"/>
    </row>
    <row r="17" spans="1:6" ht="19.5" customHeight="1">
      <c r="A17" s="16"/>
      <c r="B17" s="16"/>
      <c r="C17" s="20" t="s">
        <v>96</v>
      </c>
      <c r="D17" s="21"/>
      <c r="E17" s="18"/>
      <c r="F17" s="17"/>
    </row>
    <row r="18" spans="1:6" ht="19.5" customHeight="1">
      <c r="A18" s="16"/>
      <c r="B18" s="16"/>
      <c r="C18" s="20"/>
      <c r="D18" s="21"/>
      <c r="E18" s="18"/>
      <c r="F18" s="17"/>
    </row>
    <row r="19" spans="1:6" s="15" customFormat="1" ht="19.5" customHeight="1">
      <c r="A19" s="22"/>
      <c r="B19" s="25" t="s">
        <v>49</v>
      </c>
      <c r="C19" s="25" t="s">
        <v>28</v>
      </c>
      <c r="D19" s="25" t="s">
        <v>30</v>
      </c>
      <c r="E19" s="25" t="s">
        <v>34</v>
      </c>
      <c r="F19" s="22"/>
    </row>
    <row r="20" spans="1:6" ht="19.5" customHeight="1">
      <c r="A20" s="17"/>
      <c r="B20" s="23"/>
      <c r="F20" s="17"/>
    </row>
    <row r="21" spans="1:6" ht="19.5" customHeight="1">
      <c r="A21" s="17"/>
      <c r="B21" s="23">
        <v>1</v>
      </c>
      <c r="C21" s="261" t="s">
        <v>145</v>
      </c>
      <c r="D21" s="17" t="s">
        <v>39</v>
      </c>
      <c r="E21" s="54">
        <f>' BANK'!D6</f>
        <v>22807.1724137931</v>
      </c>
      <c r="F21" s="17"/>
    </row>
    <row r="22" spans="1:6" ht="19.5" customHeight="1">
      <c r="A22" s="17"/>
      <c r="B22" s="23">
        <f>B21+1</f>
        <v>2</v>
      </c>
      <c r="C22" s="261" t="s">
        <v>147</v>
      </c>
      <c r="D22" s="17" t="s">
        <v>31</v>
      </c>
      <c r="E22" s="54">
        <f>' BANK'!D7</f>
        <v>9682</v>
      </c>
      <c r="F22" s="17"/>
    </row>
    <row r="23" spans="1:6" ht="19.5" customHeight="1">
      <c r="A23" s="17"/>
      <c r="B23" s="23">
        <f>B22+1</f>
        <v>3</v>
      </c>
      <c r="C23" s="261" t="s">
        <v>149</v>
      </c>
      <c r="D23" s="17" t="s">
        <v>35</v>
      </c>
      <c r="E23" s="54">
        <f>' BANK'!D8</f>
        <v>7520</v>
      </c>
      <c r="F23" s="17"/>
    </row>
    <row r="24" spans="1:6" ht="19.5" customHeight="1">
      <c r="A24" s="17"/>
      <c r="B24" s="23">
        <f>B23+1</f>
        <v>4</v>
      </c>
      <c r="C24" s="261" t="s">
        <v>150</v>
      </c>
      <c r="D24" s="17" t="s">
        <v>36</v>
      </c>
      <c r="E24" s="54">
        <f>' BANK'!D9</f>
        <v>7520</v>
      </c>
      <c r="F24" s="17"/>
    </row>
    <row r="25" spans="1:6" ht="19.5" customHeight="1">
      <c r="A25" s="17"/>
      <c r="B25" s="23">
        <f>B24+1</f>
        <v>5</v>
      </c>
      <c r="C25" s="261" t="s">
        <v>151</v>
      </c>
      <c r="D25" s="17" t="s">
        <v>32</v>
      </c>
      <c r="E25" s="54">
        <f>' BANK'!D10</f>
        <v>16240</v>
      </c>
      <c r="F25" s="17"/>
    </row>
    <row r="26" spans="1:6" ht="19.5" customHeight="1" thickBot="1">
      <c r="A26" s="17"/>
      <c r="B26" s="24">
        <f>B25</f>
        <v>5</v>
      </c>
      <c r="C26" s="25" t="s">
        <v>27</v>
      </c>
      <c r="D26" s="17"/>
      <c r="E26" s="28">
        <f>SUM(E21:E25)</f>
        <v>63769.1724137931</v>
      </c>
      <c r="F26" s="17"/>
    </row>
    <row r="27" spans="1:6" ht="9.75" customHeight="1" thickTop="1">
      <c r="A27" s="17"/>
      <c r="B27" s="23"/>
      <c r="C27" s="26"/>
      <c r="D27" s="17"/>
      <c r="E27" s="23"/>
      <c r="F27" s="17"/>
    </row>
    <row r="28" spans="1:6" ht="19.5" customHeight="1">
      <c r="A28" s="17"/>
      <c r="B28" s="25">
        <f>B26</f>
        <v>5</v>
      </c>
      <c r="C28" s="27"/>
      <c r="D28" s="22"/>
      <c r="E28" s="57">
        <f>E26</f>
        <v>63769.1724137931</v>
      </c>
      <c r="F28" s="62"/>
    </row>
    <row r="29" spans="1:6" ht="13.5" customHeight="1">
      <c r="A29" s="17"/>
      <c r="B29" s="23"/>
      <c r="C29" s="26"/>
      <c r="D29" s="17"/>
      <c r="E29" s="54"/>
      <c r="F29" s="17"/>
    </row>
    <row r="30" spans="1:6" ht="19.5" customHeight="1">
      <c r="A30" s="17"/>
      <c r="B30" s="25">
        <f>B28+B13</f>
        <v>9</v>
      </c>
      <c r="C30" s="25" t="s">
        <v>97</v>
      </c>
      <c r="D30" s="17"/>
      <c r="E30" s="57">
        <f>E28+E13</f>
        <v>85645.37931034483</v>
      </c>
      <c r="F30" s="17"/>
    </row>
    <row r="31" spans="1:6" ht="19.5" customHeight="1">
      <c r="A31" s="17"/>
      <c r="B31" s="23"/>
      <c r="C31" s="16"/>
      <c r="D31" s="16"/>
      <c r="E31" s="56"/>
      <c r="F31" s="17"/>
    </row>
    <row r="33" ht="12.75">
      <c r="B33" s="15" t="s">
        <v>11</v>
      </c>
    </row>
    <row r="34" spans="3:5" ht="12.75">
      <c r="C34" s="61" t="s">
        <v>13</v>
      </c>
      <c r="D34" s="61"/>
      <c r="E34" s="61" t="s">
        <v>14</v>
      </c>
    </row>
    <row r="35" spans="2:5" ht="12.75">
      <c r="B35" s="262" t="s">
        <v>12</v>
      </c>
      <c r="C35" s="66">
        <f>Paysheet!X14</f>
        <v>85645.37931034483</v>
      </c>
      <c r="D35" s="60"/>
      <c r="E35" s="66">
        <f>'Salary Control'!C47</f>
        <v>9</v>
      </c>
    </row>
    <row r="36" spans="2:5" ht="12.75">
      <c r="B36" s="262" t="s">
        <v>64</v>
      </c>
      <c r="C36" s="66">
        <f>E30</f>
        <v>85645.37931034483</v>
      </c>
      <c r="D36" s="60"/>
      <c r="E36" s="60">
        <f>B30</f>
        <v>9</v>
      </c>
    </row>
    <row r="37" spans="2:5" ht="12.75">
      <c r="B37" s="263" t="s">
        <v>85</v>
      </c>
      <c r="C37" s="101">
        <f>C35-C36</f>
        <v>0</v>
      </c>
      <c r="D37" s="61"/>
      <c r="E37" s="101">
        <f>E35-E36</f>
        <v>0</v>
      </c>
    </row>
  </sheetData>
  <sheetProtection selectLockedCells="1" selectUnlockedCells="1"/>
  <printOptions gridLines="1" horizontalCentered="1"/>
  <pageMargins left="0" right="0" top="0.75" bottom="0" header="0" footer="0"/>
  <pageSetup horizontalDpi="600" verticalDpi="600" orientation="portrait" paperSize="9" r:id="rId1"/>
  <rowBreaks count="1" manualBreakCount="1">
    <brk id="1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K26"/>
  <sheetViews>
    <sheetView view="pageBreakPreview" zoomScale="60" workbookViewId="0" topLeftCell="A1">
      <selection activeCell="E38" sqref="E38"/>
    </sheetView>
  </sheetViews>
  <sheetFormatPr defaultColWidth="9.140625" defaultRowHeight="12.75"/>
  <cols>
    <col min="1" max="1" width="22.421875" style="0" customWidth="1"/>
    <col min="2" max="2" width="28.57421875" style="0" hidden="1" customWidth="1"/>
    <col min="3" max="3" width="10.421875" style="0" customWidth="1"/>
    <col min="4" max="4" width="11.8515625" style="0" customWidth="1"/>
    <col min="5" max="5" width="10.140625" style="0" customWidth="1"/>
    <col min="6" max="6" width="10.7109375" style="0" customWidth="1"/>
    <col min="7" max="8" width="10.8515625" style="0" customWidth="1"/>
  </cols>
  <sheetData>
    <row r="2" ht="12.75" hidden="1"/>
    <row r="3" ht="12.75" hidden="1"/>
    <row r="4" spans="1:8" ht="15">
      <c r="A4" s="124" t="s">
        <v>138</v>
      </c>
      <c r="B4" s="125"/>
      <c r="C4" s="125"/>
      <c r="D4" s="125"/>
      <c r="E4" s="125"/>
      <c r="F4" s="125"/>
      <c r="G4" s="126"/>
      <c r="H4" s="126"/>
    </row>
    <row r="5" spans="1:8" ht="15">
      <c r="A5" s="127" t="s">
        <v>136</v>
      </c>
      <c r="B5" s="112"/>
      <c r="C5" s="112"/>
      <c r="D5" s="112"/>
      <c r="E5" s="125"/>
      <c r="F5" s="125"/>
      <c r="G5" s="125"/>
      <c r="H5" s="125"/>
    </row>
    <row r="6" spans="1:8" ht="45">
      <c r="A6" s="122" t="s">
        <v>1</v>
      </c>
      <c r="B6" s="120" t="s">
        <v>20</v>
      </c>
      <c r="C6" s="122" t="s">
        <v>37</v>
      </c>
      <c r="D6" s="120" t="s">
        <v>29</v>
      </c>
      <c r="E6" s="283" t="s">
        <v>77</v>
      </c>
      <c r="F6" s="283"/>
      <c r="G6" s="283"/>
      <c r="H6" s="120" t="s">
        <v>27</v>
      </c>
    </row>
    <row r="7" spans="1:8" ht="15">
      <c r="A7" s="34"/>
      <c r="B7" s="34"/>
      <c r="C7" s="35"/>
      <c r="D7" s="34"/>
      <c r="E7" s="34" t="s">
        <v>98</v>
      </c>
      <c r="F7" s="34" t="s">
        <v>99</v>
      </c>
      <c r="G7" s="34" t="s">
        <v>100</v>
      </c>
      <c r="H7" s="34"/>
    </row>
    <row r="8" spans="1:8" ht="15">
      <c r="A8" s="33"/>
      <c r="B8" s="33"/>
      <c r="C8" s="33"/>
      <c r="D8" s="33"/>
      <c r="E8" s="33"/>
      <c r="F8" s="33"/>
      <c r="G8" s="33"/>
      <c r="H8" s="33"/>
    </row>
    <row r="9" spans="1:11" ht="15">
      <c r="A9" s="33" t="s">
        <v>24</v>
      </c>
      <c r="B9" s="33"/>
      <c r="C9" s="120">
        <f>' BANK'!A10+' Cash'!A9</f>
        <v>9</v>
      </c>
      <c r="D9" s="121">
        <f>Paysheet!X14</f>
        <v>85645.37931034483</v>
      </c>
      <c r="E9" s="121">
        <f>' BANK'!D11</f>
        <v>63769.1724137931</v>
      </c>
      <c r="F9" s="121">
        <f>' Cash'!C10</f>
        <v>21876.206896551725</v>
      </c>
      <c r="G9" s="121">
        <v>0</v>
      </c>
      <c r="H9" s="121">
        <f>E9+F9</f>
        <v>85645.37931034483</v>
      </c>
      <c r="J9" s="3"/>
      <c r="K9" s="3"/>
    </row>
    <row r="10" spans="1:11" ht="15">
      <c r="A10" s="14"/>
      <c r="B10" s="33" t="s">
        <v>40</v>
      </c>
      <c r="C10" s="120"/>
      <c r="D10" s="121"/>
      <c r="E10" s="121"/>
      <c r="F10" s="121"/>
      <c r="G10" s="121"/>
      <c r="H10" s="121"/>
      <c r="J10" s="3"/>
      <c r="K10" s="3"/>
    </row>
    <row r="11" spans="1:11" ht="20.25" customHeight="1">
      <c r="A11" s="33" t="s">
        <v>27</v>
      </c>
      <c r="B11" s="32"/>
      <c r="C11" s="120">
        <f aca="true" t="shared" si="0" ref="C11:H11">C9</f>
        <v>9</v>
      </c>
      <c r="D11" s="121">
        <f t="shared" si="0"/>
        <v>85645.37931034483</v>
      </c>
      <c r="E11" s="120">
        <f t="shared" si="0"/>
        <v>63769.1724137931</v>
      </c>
      <c r="F11" s="120">
        <f t="shared" si="0"/>
        <v>21876.206896551725</v>
      </c>
      <c r="G11" s="120">
        <f t="shared" si="0"/>
        <v>0</v>
      </c>
      <c r="H11" s="120">
        <f t="shared" si="0"/>
        <v>85645.37931034483</v>
      </c>
      <c r="J11" s="3"/>
      <c r="K11" s="3"/>
    </row>
    <row r="12" spans="1:8" ht="14.25">
      <c r="A12" s="17"/>
      <c r="B12" s="17"/>
      <c r="C12" s="16"/>
      <c r="D12" s="56"/>
      <c r="E12" s="56"/>
      <c r="F12" s="56"/>
      <c r="G12" s="56"/>
      <c r="H12" s="56"/>
    </row>
    <row r="13" spans="4:8" ht="12.75">
      <c r="D13" s="3"/>
      <c r="E13" s="3">
        <f>Paysheet!X14</f>
        <v>85645.37931034483</v>
      </c>
      <c r="F13" s="3">
        <f>E13-D11</f>
        <v>0</v>
      </c>
      <c r="G13" s="3"/>
      <c r="H13" s="3"/>
    </row>
    <row r="14" spans="5:6" ht="12.75">
      <c r="E14" s="3"/>
      <c r="F14" s="3"/>
    </row>
    <row r="16" spans="4:8" ht="12.75">
      <c r="D16" s="3"/>
      <c r="E16" s="3"/>
      <c r="F16" s="3"/>
      <c r="G16" s="3"/>
      <c r="H16" s="3"/>
    </row>
    <row r="17" spans="5:6" ht="12.75">
      <c r="E17" s="3"/>
      <c r="F17" s="3"/>
    </row>
    <row r="18" ht="12.75">
      <c r="E18" s="3"/>
    </row>
    <row r="25" ht="12.75">
      <c r="F25" s="3"/>
    </row>
    <row r="26" ht="12.75">
      <c r="F26" s="3"/>
    </row>
  </sheetData>
  <mergeCells count="1">
    <mergeCell ref="E6:G6"/>
  </mergeCells>
  <printOptions horizontalCentered="1"/>
  <pageMargins left="0.01" right="0.01" top="1" bottom="1" header="0.5" footer="0.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R82"/>
  <sheetViews>
    <sheetView view="pageBreakPreview" zoomScaleSheetLayoutView="100" workbookViewId="0" topLeftCell="A1">
      <selection activeCell="B6" sqref="B6:B10"/>
    </sheetView>
  </sheetViews>
  <sheetFormatPr defaultColWidth="9.140625" defaultRowHeight="12.75"/>
  <cols>
    <col min="1" max="1" width="9.7109375" style="215" customWidth="1"/>
    <col min="2" max="2" width="32.8515625" style="211" customWidth="1"/>
    <col min="3" max="3" width="29.00390625" style="202" customWidth="1"/>
    <col min="4" max="4" width="21.8515625" style="211" customWidth="1"/>
  </cols>
  <sheetData>
    <row r="1" spans="1:4" ht="19.5" customHeight="1">
      <c r="A1" s="38" t="s">
        <v>154</v>
      </c>
      <c r="B1" s="203"/>
      <c r="C1" s="198"/>
      <c r="D1" s="204"/>
    </row>
    <row r="2" spans="1:4" ht="18" customHeight="1">
      <c r="A2" s="116" t="s">
        <v>155</v>
      </c>
      <c r="B2" s="205"/>
      <c r="C2" s="198"/>
      <c r="D2" s="206"/>
    </row>
    <row r="3" spans="1:4" ht="18" customHeight="1">
      <c r="A3" s="116" t="s">
        <v>156</v>
      </c>
      <c r="B3" s="207"/>
      <c r="C3" s="198"/>
      <c r="D3" s="206"/>
    </row>
    <row r="4" spans="1:18" ht="18" customHeight="1">
      <c r="A4" s="206"/>
      <c r="B4" s="206"/>
      <c r="C4" s="198"/>
      <c r="D4" s="2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0" s="67" customFormat="1" ht="30" customHeight="1">
      <c r="A5" s="133" t="s">
        <v>84</v>
      </c>
      <c r="B5" s="134" t="s">
        <v>51</v>
      </c>
      <c r="C5" s="134" t="s">
        <v>94</v>
      </c>
      <c r="D5" s="135" t="s">
        <v>72</v>
      </c>
      <c r="E5" s="107"/>
      <c r="F5" s="107"/>
      <c r="G5" s="107"/>
      <c r="H5" s="107"/>
      <c r="I5" s="107"/>
      <c r="J5" s="107"/>
    </row>
    <row r="6" spans="1:10" s="67" customFormat="1" ht="30" customHeight="1">
      <c r="A6" s="136">
        <v>1</v>
      </c>
      <c r="B6" s="252" t="s">
        <v>145</v>
      </c>
      <c r="C6" s="143">
        <f>Paysheet!AD5</f>
        <v>110012345</v>
      </c>
      <c r="D6" s="137">
        <f>Paysheet!X5</f>
        <v>22807.1724137931</v>
      </c>
      <c r="E6" s="107"/>
      <c r="F6" s="107"/>
      <c r="G6" s="107"/>
      <c r="H6" s="107"/>
      <c r="I6" s="107"/>
      <c r="J6" s="107"/>
    </row>
    <row r="7" spans="1:10" s="67" customFormat="1" ht="30" customHeight="1">
      <c r="A7" s="136">
        <f>A6+1</f>
        <v>2</v>
      </c>
      <c r="B7" s="252" t="s">
        <v>147</v>
      </c>
      <c r="C7" s="143">
        <f>Paysheet!AD7</f>
        <v>110012347</v>
      </c>
      <c r="D7" s="137">
        <f>Paysheet!X7</f>
        <v>9682</v>
      </c>
      <c r="E7" s="107"/>
      <c r="F7" s="107"/>
      <c r="G7" s="107"/>
      <c r="H7" s="107"/>
      <c r="I7" s="107"/>
      <c r="J7" s="107"/>
    </row>
    <row r="8" spans="1:10" s="67" customFormat="1" ht="30" customHeight="1">
      <c r="A8" s="136">
        <f>A7+1</f>
        <v>3</v>
      </c>
      <c r="B8" s="252" t="s">
        <v>149</v>
      </c>
      <c r="C8" s="143">
        <f>Paysheet!AD9</f>
        <v>110012349</v>
      </c>
      <c r="D8" s="137">
        <f>Paysheet!X10</f>
        <v>7520</v>
      </c>
      <c r="E8" s="107"/>
      <c r="F8" s="107"/>
      <c r="G8" s="107"/>
      <c r="H8" s="107"/>
      <c r="I8" s="107"/>
      <c r="J8" s="107"/>
    </row>
    <row r="9" spans="1:10" s="67" customFormat="1" ht="30" customHeight="1">
      <c r="A9" s="136">
        <f>A8+1</f>
        <v>4</v>
      </c>
      <c r="B9" s="252" t="s">
        <v>150</v>
      </c>
      <c r="C9" s="143">
        <f>Paysheet!AD10</f>
        <v>110012350</v>
      </c>
      <c r="D9" s="137">
        <f>Paysheet!X9</f>
        <v>7520</v>
      </c>
      <c r="E9" s="107"/>
      <c r="F9" s="107"/>
      <c r="G9" s="107"/>
      <c r="H9" s="107"/>
      <c r="I9" s="107"/>
      <c r="J9" s="107"/>
    </row>
    <row r="10" spans="1:4" s="67" customFormat="1" ht="24.75" customHeight="1">
      <c r="A10" s="136">
        <f>A9+1</f>
        <v>5</v>
      </c>
      <c r="B10" s="252" t="s">
        <v>151</v>
      </c>
      <c r="C10" s="143">
        <f>Paysheet!AD11</f>
        <v>110012351</v>
      </c>
      <c r="D10" s="137">
        <f>Paysheet!X11</f>
        <v>16240</v>
      </c>
    </row>
    <row r="11" spans="1:6" s="99" customFormat="1" ht="27" customHeight="1">
      <c r="A11" s="136"/>
      <c r="B11" s="208"/>
      <c r="C11" s="136"/>
      <c r="D11" s="209">
        <f>SUM(D6:D10)</f>
        <v>63769.1724137931</v>
      </c>
      <c r="E11" s="63"/>
      <c r="F11" s="63"/>
    </row>
    <row r="12" spans="1:4" s="99" customFormat="1" ht="15">
      <c r="A12" s="210"/>
      <c r="B12" s="211"/>
      <c r="C12" s="199"/>
      <c r="D12" s="213"/>
    </row>
    <row r="13" spans="1:6" s="99" customFormat="1" ht="15">
      <c r="A13" s="210"/>
      <c r="B13" s="211"/>
      <c r="C13" s="199"/>
      <c r="D13" s="214">
        <f>Paysheet!X14-Paysheet!X13-Paysheet!X12-Paysheet!X8-Paysheet!X6</f>
        <v>63769.1724137931</v>
      </c>
      <c r="E13" s="69"/>
      <c r="F13" s="69"/>
    </row>
    <row r="14" spans="1:4" s="99" customFormat="1" ht="15">
      <c r="A14" s="210"/>
      <c r="B14" s="211"/>
      <c r="C14" s="200"/>
      <c r="D14" s="213">
        <f>D11-D13</f>
        <v>0</v>
      </c>
    </row>
    <row r="15" spans="1:4" s="99" customFormat="1" ht="15">
      <c r="A15" s="210"/>
      <c r="B15" s="211"/>
      <c r="C15" s="201"/>
      <c r="D15" s="213"/>
    </row>
    <row r="16" spans="1:4" s="99" customFormat="1" ht="15">
      <c r="A16" s="210"/>
      <c r="B16" s="211"/>
      <c r="C16" s="201"/>
      <c r="D16" s="213"/>
    </row>
    <row r="17" spans="1:4" s="99" customFormat="1" ht="15">
      <c r="A17" s="210"/>
      <c r="B17" s="211"/>
      <c r="C17" s="201"/>
      <c r="D17" s="212"/>
    </row>
    <row r="18" spans="1:4" s="99" customFormat="1" ht="15">
      <c r="A18" s="210"/>
      <c r="B18" s="211"/>
      <c r="C18" s="201"/>
      <c r="D18" s="212"/>
    </row>
    <row r="19" spans="1:4" s="99" customFormat="1" ht="15">
      <c r="A19" s="210"/>
      <c r="B19" s="211"/>
      <c r="C19" s="201"/>
      <c r="D19" s="212"/>
    </row>
    <row r="20" spans="1:4" s="99" customFormat="1" ht="15">
      <c r="A20" s="210"/>
      <c r="B20" s="211"/>
      <c r="C20" s="201"/>
      <c r="D20" s="212"/>
    </row>
    <row r="21" spans="1:4" s="99" customFormat="1" ht="15">
      <c r="A21" s="210"/>
      <c r="B21" s="211"/>
      <c r="C21" s="201"/>
      <c r="D21" s="212"/>
    </row>
    <row r="22" spans="1:4" s="99" customFormat="1" ht="15">
      <c r="A22" s="210"/>
      <c r="B22" s="211"/>
      <c r="C22" s="201"/>
      <c r="D22" s="212"/>
    </row>
    <row r="23" spans="1:4" s="99" customFormat="1" ht="15">
      <c r="A23" s="210"/>
      <c r="B23" s="211"/>
      <c r="C23" s="201"/>
      <c r="D23" s="212"/>
    </row>
    <row r="24" spans="1:4" s="99" customFormat="1" ht="15">
      <c r="A24" s="210"/>
      <c r="B24" s="211"/>
      <c r="C24" s="201"/>
      <c r="D24" s="212"/>
    </row>
    <row r="25" spans="1:4" s="99" customFormat="1" ht="15">
      <c r="A25" s="210"/>
      <c r="B25" s="211"/>
      <c r="C25" s="201"/>
      <c r="D25" s="212"/>
    </row>
    <row r="26" spans="1:4" s="99" customFormat="1" ht="15">
      <c r="A26" s="210"/>
      <c r="B26" s="211"/>
      <c r="C26" s="201"/>
      <c r="D26" s="212"/>
    </row>
    <row r="27" spans="1:4" s="99" customFormat="1" ht="15">
      <c r="A27" s="210"/>
      <c r="B27" s="211"/>
      <c r="C27" s="201"/>
      <c r="D27" s="212"/>
    </row>
    <row r="28" spans="1:4" s="99" customFormat="1" ht="15">
      <c r="A28" s="210"/>
      <c r="B28" s="211"/>
      <c r="C28" s="201"/>
      <c r="D28" s="212"/>
    </row>
    <row r="29" spans="1:4" s="99" customFormat="1" ht="15">
      <c r="A29" s="210"/>
      <c r="B29" s="211"/>
      <c r="C29" s="201"/>
      <c r="D29" s="212"/>
    </row>
    <row r="30" spans="1:4" s="99" customFormat="1" ht="15">
      <c r="A30" s="210"/>
      <c r="B30" s="211"/>
      <c r="C30" s="201"/>
      <c r="D30" s="212"/>
    </row>
    <row r="31" spans="1:4" s="99" customFormat="1" ht="15">
      <c r="A31" s="210"/>
      <c r="B31" s="211"/>
      <c r="C31" s="201"/>
      <c r="D31" s="212"/>
    </row>
    <row r="32" spans="1:4" s="99" customFormat="1" ht="15">
      <c r="A32" s="210"/>
      <c r="B32" s="211"/>
      <c r="C32" s="201"/>
      <c r="D32" s="212"/>
    </row>
    <row r="33" spans="1:4" s="99" customFormat="1" ht="15">
      <c r="A33" s="210"/>
      <c r="B33" s="211"/>
      <c r="C33" s="201"/>
      <c r="D33" s="212"/>
    </row>
    <row r="34" spans="1:4" s="99" customFormat="1" ht="15">
      <c r="A34" s="210"/>
      <c r="B34" s="211"/>
      <c r="C34" s="201"/>
      <c r="D34" s="212"/>
    </row>
    <row r="35" spans="1:4" s="99" customFormat="1" ht="15">
      <c r="A35" s="210"/>
      <c r="B35" s="211"/>
      <c r="C35" s="201"/>
      <c r="D35" s="212"/>
    </row>
    <row r="36" spans="1:4" s="99" customFormat="1" ht="15">
      <c r="A36" s="210"/>
      <c r="B36" s="211"/>
      <c r="C36" s="201"/>
      <c r="D36" s="212"/>
    </row>
    <row r="37" spans="1:4" s="99" customFormat="1" ht="15">
      <c r="A37" s="210"/>
      <c r="B37" s="211"/>
      <c r="C37" s="201"/>
      <c r="D37" s="212"/>
    </row>
    <row r="38" spans="1:4" s="99" customFormat="1" ht="15">
      <c r="A38" s="210"/>
      <c r="B38" s="211"/>
      <c r="C38" s="201"/>
      <c r="D38" s="212"/>
    </row>
    <row r="39" spans="1:4" s="99" customFormat="1" ht="15">
      <c r="A39" s="210"/>
      <c r="B39" s="211"/>
      <c r="C39" s="201"/>
      <c r="D39" s="212"/>
    </row>
    <row r="40" spans="1:4" s="99" customFormat="1" ht="15">
      <c r="A40" s="210"/>
      <c r="B40" s="211"/>
      <c r="C40" s="201"/>
      <c r="D40" s="212"/>
    </row>
    <row r="41" spans="1:4" s="99" customFormat="1" ht="15">
      <c r="A41" s="210"/>
      <c r="B41" s="211"/>
      <c r="C41" s="201"/>
      <c r="D41" s="212"/>
    </row>
    <row r="42" spans="1:4" s="99" customFormat="1" ht="15">
      <c r="A42" s="210"/>
      <c r="B42" s="211"/>
      <c r="C42" s="201"/>
      <c r="D42" s="212"/>
    </row>
    <row r="43" spans="1:4" s="99" customFormat="1" ht="15">
      <c r="A43" s="210"/>
      <c r="B43" s="211"/>
      <c r="C43" s="201"/>
      <c r="D43" s="212"/>
    </row>
    <row r="44" spans="1:4" s="99" customFormat="1" ht="15">
      <c r="A44" s="210"/>
      <c r="B44" s="211"/>
      <c r="C44" s="201"/>
      <c r="D44" s="212"/>
    </row>
    <row r="45" spans="1:4" s="99" customFormat="1" ht="15">
      <c r="A45" s="210"/>
      <c r="B45" s="211"/>
      <c r="C45" s="201"/>
      <c r="D45" s="212"/>
    </row>
    <row r="46" spans="1:4" s="99" customFormat="1" ht="15">
      <c r="A46" s="210"/>
      <c r="B46" s="211"/>
      <c r="C46" s="201"/>
      <c r="D46" s="212"/>
    </row>
    <row r="47" spans="1:4" s="99" customFormat="1" ht="15">
      <c r="A47" s="210"/>
      <c r="B47" s="211"/>
      <c r="C47" s="201"/>
      <c r="D47" s="212"/>
    </row>
    <row r="48" spans="1:4" s="99" customFormat="1" ht="15">
      <c r="A48" s="210"/>
      <c r="B48" s="211"/>
      <c r="C48" s="201"/>
      <c r="D48" s="212"/>
    </row>
    <row r="49" spans="1:4" s="99" customFormat="1" ht="15">
      <c r="A49" s="210"/>
      <c r="B49" s="211"/>
      <c r="C49" s="201"/>
      <c r="D49" s="212"/>
    </row>
    <row r="50" spans="1:4" s="99" customFormat="1" ht="15">
      <c r="A50" s="210"/>
      <c r="B50" s="211"/>
      <c r="C50" s="201"/>
      <c r="D50" s="212"/>
    </row>
    <row r="51" spans="1:4" s="99" customFormat="1" ht="15">
      <c r="A51" s="210"/>
      <c r="B51" s="211"/>
      <c r="C51" s="201"/>
      <c r="D51" s="212"/>
    </row>
    <row r="52" spans="1:4" s="99" customFormat="1" ht="15">
      <c r="A52" s="210"/>
      <c r="B52" s="211"/>
      <c r="C52" s="201"/>
      <c r="D52" s="212"/>
    </row>
    <row r="53" spans="1:4" s="99" customFormat="1" ht="15">
      <c r="A53" s="210"/>
      <c r="B53" s="211"/>
      <c r="C53" s="201"/>
      <c r="D53" s="212"/>
    </row>
    <row r="54" spans="1:4" s="99" customFormat="1" ht="15">
      <c r="A54" s="210"/>
      <c r="B54" s="211"/>
      <c r="C54" s="201"/>
      <c r="D54" s="212"/>
    </row>
    <row r="55" spans="1:4" s="99" customFormat="1" ht="15">
      <c r="A55" s="210"/>
      <c r="B55" s="211"/>
      <c r="C55" s="201"/>
      <c r="D55" s="212"/>
    </row>
    <row r="56" spans="1:4" s="99" customFormat="1" ht="15">
      <c r="A56" s="210"/>
      <c r="B56" s="211"/>
      <c r="C56" s="201"/>
      <c r="D56" s="212"/>
    </row>
    <row r="57" spans="1:4" s="99" customFormat="1" ht="15">
      <c r="A57" s="210"/>
      <c r="B57" s="211"/>
      <c r="C57" s="201"/>
      <c r="D57" s="212"/>
    </row>
    <row r="58" spans="1:4" s="99" customFormat="1" ht="15">
      <c r="A58" s="210"/>
      <c r="B58" s="211"/>
      <c r="C58" s="201"/>
      <c r="D58" s="212"/>
    </row>
    <row r="59" spans="1:4" s="99" customFormat="1" ht="15">
      <c r="A59" s="210"/>
      <c r="B59" s="211"/>
      <c r="C59" s="201"/>
      <c r="D59" s="212"/>
    </row>
    <row r="60" spans="1:4" s="99" customFormat="1" ht="15">
      <c r="A60" s="210"/>
      <c r="B60" s="211"/>
      <c r="C60" s="201"/>
      <c r="D60" s="212"/>
    </row>
    <row r="61" spans="1:4" s="99" customFormat="1" ht="15">
      <c r="A61" s="210"/>
      <c r="B61" s="211"/>
      <c r="C61" s="201"/>
      <c r="D61" s="212"/>
    </row>
    <row r="62" spans="1:4" s="99" customFormat="1" ht="15">
      <c r="A62" s="210"/>
      <c r="B62" s="211"/>
      <c r="C62" s="201"/>
      <c r="D62" s="212"/>
    </row>
    <row r="63" spans="1:4" s="99" customFormat="1" ht="15">
      <c r="A63" s="210"/>
      <c r="B63" s="211"/>
      <c r="C63" s="201"/>
      <c r="D63" s="212"/>
    </row>
    <row r="64" spans="1:4" s="99" customFormat="1" ht="15">
      <c r="A64" s="210"/>
      <c r="B64" s="211"/>
      <c r="C64" s="201"/>
      <c r="D64" s="212"/>
    </row>
    <row r="65" spans="1:4" s="99" customFormat="1" ht="15">
      <c r="A65" s="210"/>
      <c r="B65" s="211"/>
      <c r="C65" s="201"/>
      <c r="D65" s="212"/>
    </row>
    <row r="66" spans="1:4" s="99" customFormat="1" ht="15">
      <c r="A66" s="210"/>
      <c r="B66" s="211"/>
      <c r="C66" s="201"/>
      <c r="D66" s="212"/>
    </row>
    <row r="67" spans="1:4" s="99" customFormat="1" ht="15">
      <c r="A67" s="210"/>
      <c r="B67" s="211"/>
      <c r="C67" s="201"/>
      <c r="D67" s="212"/>
    </row>
    <row r="68" spans="1:4" s="99" customFormat="1" ht="15">
      <c r="A68" s="210"/>
      <c r="B68" s="211"/>
      <c r="C68" s="201"/>
      <c r="D68" s="212"/>
    </row>
    <row r="69" spans="1:4" s="99" customFormat="1" ht="15">
      <c r="A69" s="210"/>
      <c r="B69" s="211"/>
      <c r="C69" s="201"/>
      <c r="D69" s="212"/>
    </row>
    <row r="70" spans="1:4" s="99" customFormat="1" ht="15">
      <c r="A70" s="210"/>
      <c r="B70" s="211"/>
      <c r="C70" s="201"/>
      <c r="D70" s="212"/>
    </row>
    <row r="71" spans="1:4" s="99" customFormat="1" ht="15">
      <c r="A71" s="210"/>
      <c r="B71" s="211"/>
      <c r="C71" s="201"/>
      <c r="D71" s="212"/>
    </row>
    <row r="72" spans="1:4" s="99" customFormat="1" ht="15">
      <c r="A72" s="210"/>
      <c r="B72" s="211"/>
      <c r="C72" s="201"/>
      <c r="D72" s="212"/>
    </row>
    <row r="73" spans="1:4" s="99" customFormat="1" ht="15">
      <c r="A73" s="210"/>
      <c r="B73" s="211"/>
      <c r="C73" s="201"/>
      <c r="D73" s="212"/>
    </row>
    <row r="74" spans="1:4" s="99" customFormat="1" ht="15">
      <c r="A74" s="210"/>
      <c r="B74" s="211"/>
      <c r="C74" s="201"/>
      <c r="D74" s="212"/>
    </row>
    <row r="75" spans="1:4" s="99" customFormat="1" ht="15">
      <c r="A75" s="210"/>
      <c r="B75" s="211"/>
      <c r="C75" s="201"/>
      <c r="D75" s="212"/>
    </row>
    <row r="76" spans="1:4" s="99" customFormat="1" ht="15">
      <c r="A76" s="210"/>
      <c r="B76" s="211"/>
      <c r="C76" s="201"/>
      <c r="D76" s="212"/>
    </row>
    <row r="77" spans="1:4" s="99" customFormat="1" ht="15">
      <c r="A77" s="210"/>
      <c r="B77" s="211"/>
      <c r="C77" s="201"/>
      <c r="D77" s="212"/>
    </row>
    <row r="78" spans="1:4" s="99" customFormat="1" ht="15">
      <c r="A78" s="210"/>
      <c r="B78" s="211"/>
      <c r="C78" s="201"/>
      <c r="D78" s="212"/>
    </row>
    <row r="79" spans="1:4" s="99" customFormat="1" ht="15">
      <c r="A79" s="210"/>
      <c r="B79" s="211"/>
      <c r="C79" s="201"/>
      <c r="D79" s="212"/>
    </row>
    <row r="80" spans="1:4" s="99" customFormat="1" ht="15">
      <c r="A80" s="210"/>
      <c r="B80" s="211"/>
      <c r="C80" s="201"/>
      <c r="D80" s="212"/>
    </row>
    <row r="81" spans="1:4" s="99" customFormat="1" ht="15">
      <c r="A81" s="210"/>
      <c r="B81" s="211"/>
      <c r="C81" s="201"/>
      <c r="D81" s="212"/>
    </row>
    <row r="82" spans="1:4" s="99" customFormat="1" ht="15">
      <c r="A82" s="210"/>
      <c r="B82" s="211"/>
      <c r="C82" s="201"/>
      <c r="D82" s="212"/>
    </row>
  </sheetData>
  <autoFilter ref="A5:R13"/>
  <printOptions gridLines="1" horizontalCentered="1"/>
  <pageMargins left="0.01" right="0.01" top="0.5" bottom="0.5" header="0" footer="0.25"/>
  <pageSetup horizontalDpi="600" verticalDpi="600" orientation="portrait" paperSize="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workbookViewId="0" topLeftCell="A4">
      <selection activeCell="G26" sqref="G26"/>
    </sheetView>
  </sheetViews>
  <sheetFormatPr defaultColWidth="9.140625" defaultRowHeight="12.75"/>
  <cols>
    <col min="1" max="1" width="6.57421875" style="8" customWidth="1"/>
    <col min="2" max="2" width="27.421875" style="8" customWidth="1"/>
    <col min="3" max="3" width="17.00390625" style="8" customWidth="1"/>
    <col min="4" max="4" width="15.00390625" style="8" customWidth="1"/>
    <col min="5" max="5" width="23.00390625" style="8" customWidth="1"/>
    <col min="6" max="6" width="10.8515625" style="8" bestFit="1" customWidth="1"/>
    <col min="7" max="7" width="15.421875" style="8" bestFit="1" customWidth="1"/>
    <col min="8" max="9" width="9.140625" style="8" customWidth="1"/>
    <col min="10" max="10" width="10.57421875" style="8" bestFit="1" customWidth="1"/>
    <col min="11" max="16384" width="9.140625" style="8" customWidth="1"/>
  </cols>
  <sheetData>
    <row r="2" spans="1:6" ht="15">
      <c r="A2" s="5" t="s">
        <v>140</v>
      </c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/>
    </row>
    <row r="4" spans="1:6" ht="15">
      <c r="A4" s="5" t="s">
        <v>101</v>
      </c>
      <c r="B4" s="5"/>
      <c r="C4" s="5"/>
      <c r="D4" s="5"/>
      <c r="E4" s="5"/>
      <c r="F4" s="5"/>
    </row>
    <row r="5" spans="1:6" ht="15">
      <c r="A5" s="5" t="s">
        <v>141</v>
      </c>
      <c r="B5" s="5"/>
      <c r="C5" s="5"/>
      <c r="D5" s="5"/>
      <c r="E5" s="5"/>
      <c r="F5" s="5"/>
    </row>
    <row r="6" spans="1:6" ht="15">
      <c r="A6" s="5" t="s">
        <v>142</v>
      </c>
      <c r="B6" s="5"/>
      <c r="C6" s="5"/>
      <c r="D6" s="5"/>
      <c r="E6" s="5"/>
      <c r="F6" s="5"/>
    </row>
    <row r="7" spans="1:6" ht="15">
      <c r="A7" s="5" t="s">
        <v>143</v>
      </c>
      <c r="B7" s="5"/>
      <c r="C7" s="5"/>
      <c r="D7" s="5"/>
      <c r="E7" s="5"/>
      <c r="F7" s="5"/>
    </row>
    <row r="8" spans="1:6" ht="15">
      <c r="A8" s="5"/>
      <c r="B8" s="5"/>
      <c r="C8" s="5"/>
      <c r="D8" s="5"/>
      <c r="E8" s="5"/>
      <c r="F8" s="5"/>
    </row>
    <row r="9" spans="1:6" ht="15">
      <c r="A9" s="5" t="s">
        <v>102</v>
      </c>
      <c r="B9" s="5"/>
      <c r="C9" s="5"/>
      <c r="D9" s="5"/>
      <c r="E9" s="5"/>
      <c r="F9" s="5"/>
    </row>
    <row r="10" spans="1:6" ht="15">
      <c r="A10" s="5"/>
      <c r="B10" s="5"/>
      <c r="C10" s="5"/>
      <c r="D10" s="5"/>
      <c r="E10" s="5"/>
      <c r="F10" s="5"/>
    </row>
    <row r="11" spans="1:6" ht="15.75">
      <c r="A11" s="130" t="s">
        <v>105</v>
      </c>
      <c r="B11" s="132"/>
      <c r="C11" s="5"/>
      <c r="D11" s="5"/>
      <c r="E11" s="5"/>
      <c r="F11" s="5"/>
    </row>
    <row r="12" spans="1:6" ht="15.75">
      <c r="A12" s="130" t="s">
        <v>107</v>
      </c>
      <c r="B12" s="132"/>
      <c r="C12" s="5"/>
      <c r="D12" s="5"/>
      <c r="E12" s="5"/>
      <c r="F12" s="5"/>
    </row>
    <row r="13" spans="1:6" ht="15">
      <c r="A13" s="129"/>
      <c r="B13" s="5"/>
      <c r="C13" s="5"/>
      <c r="D13" s="5"/>
      <c r="E13" s="5"/>
      <c r="F13" s="5"/>
    </row>
    <row r="14" spans="1:6" ht="15">
      <c r="A14" s="129" t="s">
        <v>172</v>
      </c>
      <c r="B14" s="5"/>
      <c r="C14" s="5"/>
      <c r="D14" s="5"/>
      <c r="E14" s="5"/>
      <c r="F14" s="5"/>
    </row>
    <row r="15" spans="1:6" ht="15">
      <c r="A15" s="129" t="s">
        <v>139</v>
      </c>
      <c r="B15" s="5"/>
      <c r="C15" s="5"/>
      <c r="D15" s="5"/>
      <c r="E15" s="5"/>
      <c r="F15" s="5"/>
    </row>
    <row r="16" spans="1:4" ht="15">
      <c r="A16" s="129" t="s">
        <v>144</v>
      </c>
      <c r="B16" s="5"/>
      <c r="C16" s="5"/>
      <c r="D16" s="5"/>
    </row>
    <row r="17" spans="1:4" ht="15">
      <c r="A17" s="129"/>
      <c r="B17" s="5"/>
      <c r="C17" s="5"/>
      <c r="D17" s="5"/>
    </row>
    <row r="18" spans="1:5" ht="43.5" customHeight="1">
      <c r="A18" s="140" t="s">
        <v>42</v>
      </c>
      <c r="B18" s="141" t="s">
        <v>51</v>
      </c>
      <c r="C18" s="141" t="s">
        <v>94</v>
      </c>
      <c r="D18" s="142" t="s">
        <v>72</v>
      </c>
      <c r="E18" s="5"/>
    </row>
    <row r="19" spans="1:5" ht="21" customHeight="1">
      <c r="A19" s="233">
        <v>1</v>
      </c>
      <c r="B19" s="234" t="s">
        <v>145</v>
      </c>
      <c r="C19" s="143">
        <f>Paysheet!AD5</f>
        <v>110012345</v>
      </c>
      <c r="D19" s="144">
        <f>Paysheet!X5</f>
        <v>22807.1724137931</v>
      </c>
      <c r="E19" s="5"/>
    </row>
    <row r="20" spans="1:5" ht="19.5" customHeight="1">
      <c r="A20" s="233">
        <f>A19+1</f>
        <v>2</v>
      </c>
      <c r="B20" s="234" t="s">
        <v>147</v>
      </c>
      <c r="C20" s="143">
        <f>Paysheet!AD7</f>
        <v>110012347</v>
      </c>
      <c r="D20" s="144">
        <f>Paysheet!X7</f>
        <v>9682</v>
      </c>
      <c r="E20" s="5"/>
    </row>
    <row r="21" spans="1:5" ht="19.5" customHeight="1">
      <c r="A21" s="233">
        <f>A20+1</f>
        <v>3</v>
      </c>
      <c r="B21" s="234" t="s">
        <v>149</v>
      </c>
      <c r="C21" s="143">
        <f>Paysheet!AD9</f>
        <v>110012349</v>
      </c>
      <c r="D21" s="144">
        <f>Paysheet!X9</f>
        <v>7520</v>
      </c>
      <c r="E21" s="5"/>
    </row>
    <row r="22" spans="1:5" ht="19.5" customHeight="1">
      <c r="A22" s="233">
        <f>A21+1</f>
        <v>4</v>
      </c>
      <c r="B22" s="234" t="s">
        <v>150</v>
      </c>
      <c r="C22" s="143">
        <f>Paysheet!AD10</f>
        <v>110012350</v>
      </c>
      <c r="D22" s="144">
        <f>Paysheet!X10</f>
        <v>7520</v>
      </c>
      <c r="E22" s="5"/>
    </row>
    <row r="23" spans="1:5" ht="19.5" customHeight="1">
      <c r="A23" s="233">
        <f>A22+1</f>
        <v>5</v>
      </c>
      <c r="B23" s="234" t="s">
        <v>151</v>
      </c>
      <c r="C23" s="143">
        <f>Paysheet!AD11</f>
        <v>110012351</v>
      </c>
      <c r="D23" s="144">
        <f>Paysheet!X11</f>
        <v>16240</v>
      </c>
      <c r="E23" s="5"/>
    </row>
    <row r="24" spans="1:10" ht="19.5" customHeight="1">
      <c r="A24" s="139"/>
      <c r="B24" s="138"/>
      <c r="C24" s="138" t="s">
        <v>106</v>
      </c>
      <c r="D24" s="235">
        <f>ROUND(SUM(D19:D23),0)</f>
        <v>63769</v>
      </c>
      <c r="E24" s="5"/>
      <c r="F24" s="145"/>
      <c r="I24" s="145"/>
      <c r="J24" s="147"/>
    </row>
    <row r="25" spans="1:5" ht="14.25" customHeight="1">
      <c r="A25" s="5"/>
      <c r="B25" s="5"/>
      <c r="C25" s="5"/>
      <c r="D25" s="5"/>
      <c r="E25" s="5"/>
    </row>
    <row r="26" spans="1:7" ht="15.75">
      <c r="A26" s="5" t="s">
        <v>0</v>
      </c>
      <c r="B26" s="5"/>
      <c r="C26" s="5"/>
      <c r="D26" s="5"/>
      <c r="E26" s="5"/>
      <c r="F26" s="145">
        <f>' BANK'!D11</f>
        <v>63769.1724137931</v>
      </c>
      <c r="G26" s="147">
        <f>D24-F26</f>
        <v>-0.17241379310144112</v>
      </c>
    </row>
    <row r="27" spans="1:5" ht="9.75" customHeight="1">
      <c r="A27" s="131"/>
      <c r="B27" s="5"/>
      <c r="C27" s="5"/>
      <c r="D27" s="5"/>
      <c r="E27" s="5"/>
    </row>
    <row r="28" spans="1:5" ht="15">
      <c r="A28" s="5" t="s">
        <v>103</v>
      </c>
      <c r="B28" s="5"/>
      <c r="C28" s="5"/>
      <c r="D28" s="5"/>
      <c r="E28" s="5"/>
    </row>
    <row r="29" spans="1:5" ht="9" customHeight="1">
      <c r="A29" s="5"/>
      <c r="B29" s="5"/>
      <c r="C29" s="5"/>
      <c r="D29" s="5"/>
      <c r="E29" s="5"/>
    </row>
    <row r="30" spans="1:5" ht="15">
      <c r="A30" s="5" t="s">
        <v>104</v>
      </c>
      <c r="B30" s="5"/>
      <c r="C30" s="5"/>
      <c r="D30" s="5"/>
      <c r="E30" s="5"/>
    </row>
    <row r="31" spans="1:5" ht="15.75">
      <c r="A31" s="132" t="s">
        <v>153</v>
      </c>
      <c r="B31" s="5"/>
      <c r="C31" s="5"/>
      <c r="D31" s="5"/>
      <c r="E31" s="5"/>
    </row>
    <row r="32" spans="1:5" ht="8.25" customHeight="1">
      <c r="A32" s="132"/>
      <c r="B32" s="5"/>
      <c r="C32" s="5"/>
      <c r="D32" s="5"/>
      <c r="E32" s="5"/>
    </row>
    <row r="33" spans="1:5" ht="15.75">
      <c r="A33" s="132"/>
      <c r="B33" s="5"/>
      <c r="C33" s="5"/>
      <c r="D33" s="5"/>
      <c r="E33" s="5"/>
    </row>
    <row r="34" spans="2:5" ht="15">
      <c r="B34" s="5"/>
      <c r="C34" s="5"/>
      <c r="D34" s="5"/>
      <c r="E34" s="5"/>
    </row>
    <row r="35" ht="15.75">
      <c r="A35" s="132" t="s">
        <v>132</v>
      </c>
    </row>
  </sheetData>
  <printOptions horizontalCentered="1"/>
  <pageMargins left="1.25" right="0.5" top="1.5" bottom="1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Q81"/>
  <sheetViews>
    <sheetView tabSelected="1" view="pageBreakPreview" zoomScaleSheetLayoutView="100" workbookViewId="0" topLeftCell="A1">
      <selection activeCell="H4" sqref="H4"/>
    </sheetView>
  </sheetViews>
  <sheetFormatPr defaultColWidth="9.140625" defaultRowHeight="12.75"/>
  <cols>
    <col min="1" max="1" width="9.7109375" style="215" customWidth="1"/>
    <col min="2" max="2" width="32.8515625" style="211" customWidth="1"/>
    <col min="3" max="3" width="21.8515625" style="211" customWidth="1"/>
  </cols>
  <sheetData>
    <row r="1" spans="1:3" ht="19.5" customHeight="1">
      <c r="A1" s="38" t="s">
        <v>154</v>
      </c>
      <c r="B1" s="203"/>
      <c r="C1" s="204"/>
    </row>
    <row r="2" spans="1:3" ht="18" customHeight="1">
      <c r="A2" s="116" t="s">
        <v>155</v>
      </c>
      <c r="B2" s="205"/>
      <c r="C2" s="206"/>
    </row>
    <row r="3" spans="1:3" ht="18" customHeight="1">
      <c r="A3" s="116" t="s">
        <v>156</v>
      </c>
      <c r="B3" s="207"/>
      <c r="C3" s="206"/>
    </row>
    <row r="4" spans="1:17" ht="18" customHeight="1">
      <c r="A4" s="206"/>
      <c r="B4" s="206"/>
      <c r="C4" s="20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9" s="67" customFormat="1" ht="30" customHeight="1">
      <c r="A5" s="133" t="s">
        <v>84</v>
      </c>
      <c r="B5" s="134" t="s">
        <v>51</v>
      </c>
      <c r="C5" s="135" t="s">
        <v>72</v>
      </c>
      <c r="D5" s="107"/>
      <c r="E5" s="107"/>
      <c r="F5" s="107"/>
      <c r="G5" s="107"/>
      <c r="H5" s="107"/>
      <c r="I5" s="107"/>
    </row>
    <row r="6" spans="1:9" s="67" customFormat="1" ht="22.5" customHeight="1">
      <c r="A6" s="136">
        <v>1</v>
      </c>
      <c r="B6" s="259" t="s">
        <v>146</v>
      </c>
      <c r="C6" s="137">
        <f>Paysheet!X6</f>
        <v>4230</v>
      </c>
      <c r="D6" s="107"/>
      <c r="E6" s="107"/>
      <c r="F6" s="107"/>
      <c r="G6" s="107"/>
      <c r="H6" s="110"/>
      <c r="I6" s="107"/>
    </row>
    <row r="7" spans="1:9" s="67" customFormat="1" ht="22.5" customHeight="1">
      <c r="A7" s="136">
        <f>A6+1</f>
        <v>2</v>
      </c>
      <c r="B7" s="259" t="s">
        <v>148</v>
      </c>
      <c r="C7" s="137">
        <f>Paysheet!X8</f>
        <v>7020</v>
      </c>
      <c r="D7" s="107"/>
      <c r="E7" s="107"/>
      <c r="F7" s="107"/>
      <c r="G7" s="107"/>
      <c r="H7" s="110"/>
      <c r="I7" s="107"/>
    </row>
    <row r="8" spans="1:9" s="67" customFormat="1" ht="22.5" customHeight="1">
      <c r="A8" s="136">
        <f>A7+1</f>
        <v>3</v>
      </c>
      <c r="B8" s="259" t="s">
        <v>152</v>
      </c>
      <c r="C8" s="137">
        <f>Paysheet!X12</f>
        <v>6140.689655172414</v>
      </c>
      <c r="D8" s="107"/>
      <c r="E8" s="107"/>
      <c r="F8" s="107"/>
      <c r="G8" s="107"/>
      <c r="H8" s="110"/>
      <c r="I8" s="107"/>
    </row>
    <row r="9" spans="1:9" s="67" customFormat="1" ht="22.5" customHeight="1">
      <c r="A9" s="136">
        <f>A8+1</f>
        <v>4</v>
      </c>
      <c r="B9" s="259" t="s">
        <v>171</v>
      </c>
      <c r="C9" s="137">
        <f>Paysheet!X13</f>
        <v>4485.51724137931</v>
      </c>
      <c r="D9" s="107"/>
      <c r="E9" s="107"/>
      <c r="F9" s="107"/>
      <c r="G9" s="107"/>
      <c r="H9" s="110"/>
      <c r="I9" s="107"/>
    </row>
    <row r="10" spans="1:5" s="99" customFormat="1" ht="27" customHeight="1">
      <c r="A10" s="136"/>
      <c r="B10" s="208"/>
      <c r="C10" s="209">
        <f>SUM(C6:C9)</f>
        <v>21876.206896551725</v>
      </c>
      <c r="D10" s="63"/>
      <c r="E10" s="63"/>
    </row>
    <row r="11" spans="1:3" s="99" customFormat="1" ht="15">
      <c r="A11" s="210"/>
      <c r="B11" s="211"/>
      <c r="C11" s="213"/>
    </row>
    <row r="12" spans="1:5" s="99" customFormat="1" ht="15">
      <c r="A12" s="210"/>
      <c r="B12" s="211"/>
      <c r="C12" s="214">
        <f>Paysheet!X14-Paysheet!X11-Paysheet!X10-Paysheet!X9-Paysheet!X7-Paysheet!X5</f>
        <v>21876.206896551725</v>
      </c>
      <c r="D12" s="69"/>
      <c r="E12" s="69"/>
    </row>
    <row r="13" spans="1:3" s="99" customFormat="1" ht="15">
      <c r="A13" s="210"/>
      <c r="B13" s="211"/>
      <c r="C13" s="213">
        <f>C12-C10</f>
        <v>0</v>
      </c>
    </row>
    <row r="14" spans="1:3" s="99" customFormat="1" ht="15">
      <c r="A14" s="210"/>
      <c r="B14" s="211"/>
      <c r="C14" s="213"/>
    </row>
    <row r="15" spans="1:3" s="99" customFormat="1" ht="15">
      <c r="A15" s="210"/>
      <c r="B15" s="211"/>
      <c r="C15" s="213"/>
    </row>
    <row r="16" spans="1:3" s="99" customFormat="1" ht="15">
      <c r="A16" s="210"/>
      <c r="B16" s="211"/>
      <c r="C16" s="212"/>
    </row>
    <row r="17" spans="1:3" s="99" customFormat="1" ht="15">
      <c r="A17" s="210"/>
      <c r="C17" s="212"/>
    </row>
    <row r="18" spans="1:3" s="99" customFormat="1" ht="15">
      <c r="A18" s="210"/>
      <c r="C18" s="212"/>
    </row>
    <row r="19" spans="1:3" s="99" customFormat="1" ht="15">
      <c r="A19" s="210"/>
      <c r="C19" s="212"/>
    </row>
    <row r="20" spans="1:3" s="99" customFormat="1" ht="15">
      <c r="A20" s="210"/>
      <c r="B20" s="211"/>
      <c r="C20" s="212"/>
    </row>
    <row r="21" spans="1:3" s="99" customFormat="1" ht="15">
      <c r="A21" s="210"/>
      <c r="B21" s="211"/>
      <c r="C21" s="212"/>
    </row>
    <row r="22" spans="1:3" s="99" customFormat="1" ht="15">
      <c r="A22" s="210"/>
      <c r="B22" s="211"/>
      <c r="C22" s="212"/>
    </row>
    <row r="23" spans="1:3" s="99" customFormat="1" ht="15">
      <c r="A23" s="210"/>
      <c r="B23" s="211"/>
      <c r="C23" s="212"/>
    </row>
    <row r="24" spans="1:3" s="99" customFormat="1" ht="15">
      <c r="A24" s="210"/>
      <c r="B24" s="211"/>
      <c r="C24" s="212"/>
    </row>
    <row r="25" spans="1:3" s="99" customFormat="1" ht="15">
      <c r="A25" s="210"/>
      <c r="B25" s="211"/>
      <c r="C25" s="212"/>
    </row>
    <row r="26" spans="1:3" s="99" customFormat="1" ht="15">
      <c r="A26" s="210"/>
      <c r="B26" s="211"/>
      <c r="C26" s="212"/>
    </row>
    <row r="27" spans="1:3" s="99" customFormat="1" ht="15">
      <c r="A27" s="210"/>
      <c r="B27" s="211"/>
      <c r="C27" s="212"/>
    </row>
    <row r="28" spans="1:3" s="99" customFormat="1" ht="15">
      <c r="A28" s="210"/>
      <c r="B28" s="211"/>
      <c r="C28" s="212"/>
    </row>
    <row r="29" spans="1:3" s="99" customFormat="1" ht="15">
      <c r="A29" s="210"/>
      <c r="B29" s="211"/>
      <c r="C29" s="212"/>
    </row>
    <row r="30" spans="1:3" s="99" customFormat="1" ht="15">
      <c r="A30" s="210"/>
      <c r="B30" s="211"/>
      <c r="C30" s="212"/>
    </row>
    <row r="31" spans="1:3" s="99" customFormat="1" ht="15">
      <c r="A31" s="210"/>
      <c r="B31" s="211"/>
      <c r="C31" s="212"/>
    </row>
    <row r="32" spans="1:3" s="99" customFormat="1" ht="15">
      <c r="A32" s="210"/>
      <c r="B32" s="211"/>
      <c r="C32" s="212"/>
    </row>
    <row r="33" spans="1:3" s="99" customFormat="1" ht="15">
      <c r="A33" s="210"/>
      <c r="B33" s="211"/>
      <c r="C33" s="212"/>
    </row>
    <row r="34" spans="1:3" s="99" customFormat="1" ht="15">
      <c r="A34" s="210"/>
      <c r="B34" s="211"/>
      <c r="C34" s="212"/>
    </row>
    <row r="35" spans="1:3" s="99" customFormat="1" ht="15">
      <c r="A35" s="210"/>
      <c r="B35" s="211"/>
      <c r="C35" s="212"/>
    </row>
    <row r="36" spans="1:3" s="99" customFormat="1" ht="15">
      <c r="A36" s="210"/>
      <c r="B36" s="211"/>
      <c r="C36" s="212"/>
    </row>
    <row r="37" spans="1:3" s="99" customFormat="1" ht="15">
      <c r="A37" s="210"/>
      <c r="B37" s="211"/>
      <c r="C37" s="212"/>
    </row>
    <row r="38" spans="1:3" s="99" customFormat="1" ht="15">
      <c r="A38" s="210"/>
      <c r="B38" s="211"/>
      <c r="C38" s="212"/>
    </row>
    <row r="39" spans="1:3" s="99" customFormat="1" ht="15">
      <c r="A39" s="210"/>
      <c r="B39" s="211"/>
      <c r="C39" s="212"/>
    </row>
    <row r="40" spans="1:3" s="99" customFormat="1" ht="15">
      <c r="A40" s="210"/>
      <c r="B40" s="211"/>
      <c r="C40" s="212"/>
    </row>
    <row r="41" spans="1:3" s="99" customFormat="1" ht="15">
      <c r="A41" s="210"/>
      <c r="B41" s="211"/>
      <c r="C41" s="212"/>
    </row>
    <row r="42" spans="1:3" s="99" customFormat="1" ht="15">
      <c r="A42" s="210"/>
      <c r="B42" s="211"/>
      <c r="C42" s="212"/>
    </row>
    <row r="43" spans="1:3" s="99" customFormat="1" ht="15">
      <c r="A43" s="210"/>
      <c r="B43" s="211"/>
      <c r="C43" s="212"/>
    </row>
    <row r="44" spans="1:3" s="99" customFormat="1" ht="15">
      <c r="A44" s="210"/>
      <c r="B44" s="211"/>
      <c r="C44" s="212"/>
    </row>
    <row r="45" spans="1:3" s="99" customFormat="1" ht="15">
      <c r="A45" s="210"/>
      <c r="B45" s="211"/>
      <c r="C45" s="212"/>
    </row>
    <row r="46" spans="1:3" s="99" customFormat="1" ht="15">
      <c r="A46" s="210"/>
      <c r="B46" s="211"/>
      <c r="C46" s="212"/>
    </row>
    <row r="47" spans="1:3" s="99" customFormat="1" ht="15">
      <c r="A47" s="210"/>
      <c r="B47" s="211"/>
      <c r="C47" s="212"/>
    </row>
    <row r="48" spans="1:3" s="99" customFormat="1" ht="15">
      <c r="A48" s="210"/>
      <c r="B48" s="211"/>
      <c r="C48" s="212"/>
    </row>
    <row r="49" spans="1:3" s="99" customFormat="1" ht="15">
      <c r="A49" s="210"/>
      <c r="B49" s="211"/>
      <c r="C49" s="212"/>
    </row>
    <row r="50" spans="1:3" s="99" customFormat="1" ht="15">
      <c r="A50" s="210"/>
      <c r="B50" s="211"/>
      <c r="C50" s="212"/>
    </row>
    <row r="51" spans="1:3" s="99" customFormat="1" ht="15">
      <c r="A51" s="210"/>
      <c r="B51" s="211"/>
      <c r="C51" s="212"/>
    </row>
    <row r="52" spans="1:3" s="99" customFormat="1" ht="15">
      <c r="A52" s="210"/>
      <c r="B52" s="211"/>
      <c r="C52" s="212"/>
    </row>
    <row r="53" spans="1:3" s="99" customFormat="1" ht="15">
      <c r="A53" s="210"/>
      <c r="B53" s="211"/>
      <c r="C53" s="212"/>
    </row>
    <row r="54" spans="1:3" s="99" customFormat="1" ht="15">
      <c r="A54" s="210"/>
      <c r="B54" s="211"/>
      <c r="C54" s="212"/>
    </row>
    <row r="55" spans="1:3" s="99" customFormat="1" ht="15">
      <c r="A55" s="210"/>
      <c r="B55" s="211"/>
      <c r="C55" s="212"/>
    </row>
    <row r="56" spans="1:3" s="99" customFormat="1" ht="15">
      <c r="A56" s="210"/>
      <c r="B56" s="211"/>
      <c r="C56" s="212"/>
    </row>
    <row r="57" spans="1:3" s="99" customFormat="1" ht="15">
      <c r="A57" s="210"/>
      <c r="B57" s="211"/>
      <c r="C57" s="212"/>
    </row>
    <row r="58" spans="1:3" s="99" customFormat="1" ht="15">
      <c r="A58" s="210"/>
      <c r="B58" s="211"/>
      <c r="C58" s="212"/>
    </row>
    <row r="59" spans="1:3" s="99" customFormat="1" ht="15">
      <c r="A59" s="210"/>
      <c r="B59" s="211"/>
      <c r="C59" s="212"/>
    </row>
    <row r="60" spans="1:3" s="99" customFormat="1" ht="15">
      <c r="A60" s="210"/>
      <c r="B60" s="211"/>
      <c r="C60" s="212"/>
    </row>
    <row r="61" spans="1:3" s="99" customFormat="1" ht="15">
      <c r="A61" s="210"/>
      <c r="B61" s="211"/>
      <c r="C61" s="212"/>
    </row>
    <row r="62" spans="1:3" s="99" customFormat="1" ht="15">
      <c r="A62" s="210"/>
      <c r="B62" s="211"/>
      <c r="C62" s="212"/>
    </row>
    <row r="63" spans="1:3" s="99" customFormat="1" ht="15">
      <c r="A63" s="210"/>
      <c r="B63" s="211"/>
      <c r="C63" s="212"/>
    </row>
    <row r="64" spans="1:3" s="99" customFormat="1" ht="15">
      <c r="A64" s="210"/>
      <c r="B64" s="211"/>
      <c r="C64" s="212"/>
    </row>
    <row r="65" spans="1:3" s="99" customFormat="1" ht="15">
      <c r="A65" s="210"/>
      <c r="B65" s="211"/>
      <c r="C65" s="212"/>
    </row>
    <row r="66" spans="1:3" s="99" customFormat="1" ht="15">
      <c r="A66" s="210"/>
      <c r="B66" s="211"/>
      <c r="C66" s="212"/>
    </row>
    <row r="67" spans="1:3" s="99" customFormat="1" ht="15">
      <c r="A67" s="210"/>
      <c r="B67" s="211"/>
      <c r="C67" s="212"/>
    </row>
    <row r="68" spans="1:3" s="99" customFormat="1" ht="15">
      <c r="A68" s="210"/>
      <c r="B68" s="211"/>
      <c r="C68" s="212"/>
    </row>
    <row r="69" spans="1:3" s="99" customFormat="1" ht="15">
      <c r="A69" s="210"/>
      <c r="B69" s="211"/>
      <c r="C69" s="212"/>
    </row>
    <row r="70" spans="1:3" s="99" customFormat="1" ht="15">
      <c r="A70" s="210"/>
      <c r="B70" s="211"/>
      <c r="C70" s="212"/>
    </row>
    <row r="71" spans="1:3" s="99" customFormat="1" ht="15">
      <c r="A71" s="210"/>
      <c r="B71" s="211"/>
      <c r="C71" s="212"/>
    </row>
    <row r="72" spans="1:3" s="99" customFormat="1" ht="15">
      <c r="A72" s="210"/>
      <c r="B72" s="211"/>
      <c r="C72" s="212"/>
    </row>
    <row r="73" spans="1:3" s="99" customFormat="1" ht="15">
      <c r="A73" s="210"/>
      <c r="B73" s="211"/>
      <c r="C73" s="212"/>
    </row>
    <row r="74" spans="1:3" s="99" customFormat="1" ht="15">
      <c r="A74" s="210"/>
      <c r="B74" s="211"/>
      <c r="C74" s="212"/>
    </row>
    <row r="75" spans="1:3" s="99" customFormat="1" ht="15">
      <c r="A75" s="210"/>
      <c r="B75" s="211"/>
      <c r="C75" s="212"/>
    </row>
    <row r="76" spans="1:3" s="99" customFormat="1" ht="15">
      <c r="A76" s="210"/>
      <c r="B76" s="211"/>
      <c r="C76" s="212"/>
    </row>
    <row r="77" spans="1:3" s="99" customFormat="1" ht="15">
      <c r="A77" s="210"/>
      <c r="B77" s="211"/>
      <c r="C77" s="212"/>
    </row>
    <row r="78" spans="1:3" s="99" customFormat="1" ht="15">
      <c r="A78" s="210"/>
      <c r="B78" s="211"/>
      <c r="C78" s="212"/>
    </row>
    <row r="79" spans="1:3" s="99" customFormat="1" ht="15">
      <c r="A79" s="210"/>
      <c r="B79" s="211"/>
      <c r="C79" s="212"/>
    </row>
    <row r="80" spans="1:3" s="99" customFormat="1" ht="15">
      <c r="A80" s="210"/>
      <c r="B80" s="211"/>
      <c r="C80" s="212"/>
    </row>
    <row r="81" spans="1:3" s="99" customFormat="1" ht="15">
      <c r="A81" s="210"/>
      <c r="B81" s="211"/>
      <c r="C81" s="212"/>
    </row>
  </sheetData>
  <autoFilter ref="A5:C5"/>
  <printOptions gridLines="1" horizontalCentered="1"/>
  <pageMargins left="0.01" right="0.01" top="0.5" bottom="0.5" header="0" footer="0.25"/>
  <pageSetup horizontalDpi="600" verticalDpi="600" orientation="portrait" paperSize="9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ravi</cp:lastModifiedBy>
  <cp:lastPrinted>2008-03-12T09:22:17Z</cp:lastPrinted>
  <dcterms:created xsi:type="dcterms:W3CDTF">2000-12-25T05:37:37Z</dcterms:created>
  <dcterms:modified xsi:type="dcterms:W3CDTF">2009-04-25T06:55:23Z</dcterms:modified>
  <cp:category/>
  <cp:version/>
  <cp:contentType/>
  <cp:contentStatus/>
</cp:coreProperties>
</file>