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XEC (non ESI)" sheetId="1" r:id="rId1"/>
    <sheet name="Executive" sheetId="2" r:id="rId2"/>
    <sheet name="AM(ESI) " sheetId="3" r:id="rId3"/>
    <sheet name="AM(non ESI)" sheetId="4" r:id="rId4"/>
    <sheet name="DM&amp;Above" sheetId="5" r:id="rId5"/>
  </sheets>
  <definedNames>
    <definedName name="_xlnm.Print_Area" localSheetId="2">'AM(ESI) '!$A$2:$D$33</definedName>
    <definedName name="_xlnm.Print_Area" localSheetId="3">'AM(non ESI)'!#REF!</definedName>
    <definedName name="_xlnm.Print_Area" localSheetId="4">'DM&amp;Above'!#REF!</definedName>
    <definedName name="_xlnm.Print_Area" localSheetId="0">'EXEC (non ESI)'!#REF!</definedName>
    <definedName name="_xlnm.Print_Area" localSheetId="1">'Executive'!#REF!</definedName>
  </definedNames>
  <calcPr fullCalcOnLoad="1"/>
</workbook>
</file>

<file path=xl/sharedStrings.xml><?xml version="1.0" encoding="utf-8"?>
<sst xmlns="http://schemas.openxmlformats.org/spreadsheetml/2006/main" count="218" uniqueCount="57">
  <si>
    <t xml:space="preserve">Emp. Name : </t>
  </si>
  <si>
    <t>Emp. Code :</t>
  </si>
  <si>
    <t xml:space="preserve">Designation : </t>
  </si>
  <si>
    <t>Department :</t>
  </si>
  <si>
    <t>Promoted / Redesignated as :</t>
  </si>
  <si>
    <t>NA</t>
  </si>
  <si>
    <t>Transfer (if applicable)</t>
  </si>
  <si>
    <t>From</t>
  </si>
  <si>
    <t>To</t>
  </si>
  <si>
    <t>SALARY CALCULATION - OUT OF ESI  (Rs./Month)</t>
  </si>
  <si>
    <t>Monthly Earnings</t>
  </si>
  <si>
    <t>Deductions</t>
  </si>
  <si>
    <t>Basic &amp; DA</t>
  </si>
  <si>
    <t>PF</t>
  </si>
  <si>
    <t>ESI</t>
  </si>
  <si>
    <t>HRA</t>
  </si>
  <si>
    <t>PT</t>
  </si>
  <si>
    <t>TA</t>
  </si>
  <si>
    <t>CEA</t>
  </si>
  <si>
    <t>Uniform Allowance</t>
  </si>
  <si>
    <t>Sub Total</t>
  </si>
  <si>
    <t xml:space="preserve"> (C)</t>
  </si>
  <si>
    <t>Other Allowance</t>
  </si>
  <si>
    <t>Gross Earnings(A)</t>
  </si>
  <si>
    <t>Take Home(A-C)</t>
  </si>
  <si>
    <t>*</t>
  </si>
  <si>
    <t>Other Benefits</t>
  </si>
  <si>
    <t>TCC (A+B)</t>
  </si>
  <si>
    <t>TCC (P.A.)</t>
  </si>
  <si>
    <t>Bonus</t>
  </si>
  <si>
    <t>LTA</t>
  </si>
  <si>
    <t>Medical</t>
  </si>
  <si>
    <t>(B)</t>
  </si>
  <si>
    <t>Gratuity :</t>
  </si>
  <si>
    <t>Total Emoluments :</t>
  </si>
  <si>
    <t>TCC</t>
  </si>
  <si>
    <t>TCC + GRAT.</t>
  </si>
  <si>
    <t>INCREMENT/ PROMOTION DETAILS AS ON 1.4.2011</t>
  </si>
  <si>
    <t>SALARY CALCULATION - ESI COVERED  (Rs./Month)</t>
  </si>
  <si>
    <t>Gross Earnings (A)</t>
  </si>
  <si>
    <t>SALARY - OUT OF ESI  (Rs./Month)</t>
  </si>
  <si>
    <t>Gratuity as per Act:</t>
  </si>
  <si>
    <t>Gross Emoluments :</t>
  </si>
  <si>
    <t>SALARY - ESI COVERED  (Rs./Month)</t>
  </si>
  <si>
    <t xml:space="preserve">Gratuity </t>
  </si>
  <si>
    <r>
      <t xml:space="preserve">Conveyance Reimbursement </t>
    </r>
    <r>
      <rPr>
        <b/>
        <sz val="12"/>
        <rFont val="Chalet-ParisNineteenSixty"/>
        <family val="3"/>
      </rPr>
      <t>*</t>
    </r>
  </si>
  <si>
    <t>AM (with out ESI)</t>
  </si>
  <si>
    <t>HRD</t>
  </si>
  <si>
    <t>ASST. MANAGER - ADMIN</t>
  </si>
  <si>
    <t>DM - HR</t>
  </si>
  <si>
    <t>NAME OF THE COMPANY</t>
  </si>
  <si>
    <t>INCREMENT/ PROMOTION DETAILS AS ON ______</t>
  </si>
  <si>
    <t>INCREMENT/ PROMOTION DETAILS AS ON _______</t>
  </si>
  <si>
    <t xml:space="preserve">Mr. </t>
  </si>
  <si>
    <t xml:space="preserve">Sr. Executive </t>
  </si>
  <si>
    <t xml:space="preserve">Asst. Manager </t>
  </si>
  <si>
    <t xml:space="preserve">Executive -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</si>
</sst>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halet-ParisNineteenSixty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name val="Chalet-LondonNineteenEighty"/>
      <family val="3"/>
    </font>
    <font>
      <b/>
      <sz val="12"/>
      <name val="Chalet-ParisNineteenSixty"/>
      <family val="3"/>
    </font>
    <font>
      <sz val="10"/>
      <name val="Chalet-ParisNineteenSixty"/>
      <family val="3"/>
    </font>
    <font>
      <b/>
      <sz val="10"/>
      <name val="Chalet-ParisNineteenSixty"/>
      <family val="3"/>
    </font>
    <font>
      <b/>
      <sz val="11"/>
      <name val="Chalet-ParisNineteenSixty"/>
      <family val="3"/>
    </font>
    <font>
      <sz val="11"/>
      <name val="Chalet-ParisNineteenSixty"/>
      <family val="3"/>
    </font>
    <font>
      <b/>
      <sz val="11"/>
      <color indexed="30"/>
      <name val="Chalet-ParisNineteenSixty"/>
      <family val="3"/>
    </font>
    <font>
      <sz val="11"/>
      <color indexed="30"/>
      <name val="Chalet-ParisNineteenSixty"/>
      <family val="3"/>
    </font>
    <font>
      <b/>
      <sz val="11"/>
      <color indexed="10"/>
      <name val="Chalet-ParisNineteenSixty"/>
      <family val="3"/>
    </font>
    <font>
      <sz val="12"/>
      <name val="Chalet-ParisNineteenSixty"/>
      <family val="3"/>
    </font>
    <font>
      <sz val="11"/>
      <color indexed="10"/>
      <name val="Times New Roman"/>
      <family val="1"/>
    </font>
    <font>
      <b/>
      <sz val="12"/>
      <name val="Chalet-LondonNineteenSixty"/>
      <family val="3"/>
    </font>
    <font>
      <b/>
      <sz val="12"/>
      <color indexed="30"/>
      <name val="Chalet-ParisNineteenSixty"/>
      <family val="3"/>
    </font>
    <font>
      <b/>
      <sz val="12"/>
      <name val="Chalet-LondonNineteenEighty"/>
      <family val="3"/>
    </font>
    <font>
      <b/>
      <sz val="12"/>
      <color indexed="8"/>
      <name val="Chalet-ParisNineteenSixty"/>
      <family val="3"/>
    </font>
    <font>
      <b/>
      <sz val="11"/>
      <color indexed="10"/>
      <name val="Times New Roman"/>
      <family val="1"/>
    </font>
    <font>
      <b/>
      <sz val="10"/>
      <color indexed="8"/>
      <name val="Chalet-ParisNineteenSixty"/>
      <family val="3"/>
    </font>
    <font>
      <b/>
      <sz val="11"/>
      <color indexed="8"/>
      <name val="Chalet-ParisNineteenSixty"/>
      <family val="3"/>
    </font>
    <font>
      <b/>
      <sz val="18"/>
      <color indexed="56"/>
      <name val="Cambria"/>
      <family val="2"/>
    </font>
    <font>
      <b/>
      <sz val="15"/>
      <color indexed="56"/>
      <name val="Chalet-ParisNineteenSixty"/>
      <family val="2"/>
    </font>
    <font>
      <b/>
      <sz val="13"/>
      <color indexed="56"/>
      <name val="Chalet-ParisNineteenSixty"/>
      <family val="2"/>
    </font>
    <font>
      <b/>
      <sz val="11"/>
      <color indexed="56"/>
      <name val="Chalet-ParisNineteenSixty"/>
      <family val="2"/>
    </font>
    <font>
      <sz val="11"/>
      <color indexed="17"/>
      <name val="Chalet-ParisNineteenSixty"/>
      <family val="2"/>
    </font>
    <font>
      <sz val="11"/>
      <color indexed="20"/>
      <name val="Chalet-ParisNineteenSixty"/>
      <family val="2"/>
    </font>
    <font>
      <sz val="11"/>
      <color indexed="60"/>
      <name val="Chalet-ParisNineteenSixty"/>
      <family val="2"/>
    </font>
    <font>
      <sz val="11"/>
      <color indexed="62"/>
      <name val="Chalet-ParisNineteenSixty"/>
      <family val="2"/>
    </font>
    <font>
      <b/>
      <sz val="11"/>
      <color indexed="63"/>
      <name val="Chalet-ParisNineteenSixty"/>
      <family val="2"/>
    </font>
    <font>
      <b/>
      <sz val="11"/>
      <color indexed="52"/>
      <name val="Chalet-ParisNineteenSixty"/>
      <family val="2"/>
    </font>
    <font>
      <sz val="11"/>
      <color indexed="52"/>
      <name val="Chalet-ParisNineteenSixty"/>
      <family val="2"/>
    </font>
    <font>
      <b/>
      <sz val="11"/>
      <color indexed="9"/>
      <name val="Chalet-ParisNineteenSixty"/>
      <family val="2"/>
    </font>
    <font>
      <sz val="11"/>
      <color indexed="10"/>
      <name val="Chalet-ParisNineteenSixty"/>
      <family val="2"/>
    </font>
    <font>
      <i/>
      <sz val="11"/>
      <color indexed="23"/>
      <name val="Chalet-ParisNineteenSixty"/>
      <family val="2"/>
    </font>
    <font>
      <sz val="11"/>
      <color indexed="9"/>
      <name val="Chalet-ParisNineteenSixty"/>
      <family val="2"/>
    </font>
    <font>
      <sz val="11"/>
      <color theme="1"/>
      <name val="Chalet-ParisNineteenSixty"/>
      <family val="2"/>
    </font>
    <font>
      <sz val="11"/>
      <color theme="0"/>
      <name val="Chalet-ParisNineteenSixty"/>
      <family val="2"/>
    </font>
    <font>
      <sz val="11"/>
      <color rgb="FF9C0006"/>
      <name val="Chalet-ParisNineteenSixty"/>
      <family val="2"/>
    </font>
    <font>
      <b/>
      <sz val="11"/>
      <color rgb="FFFA7D00"/>
      <name val="Chalet-ParisNineteenSixty"/>
      <family val="2"/>
    </font>
    <font>
      <b/>
      <sz val="11"/>
      <color theme="0"/>
      <name val="Chalet-ParisNineteenSixty"/>
      <family val="2"/>
    </font>
    <font>
      <i/>
      <sz val="11"/>
      <color rgb="FF7F7F7F"/>
      <name val="Chalet-ParisNineteenSixty"/>
      <family val="2"/>
    </font>
    <font>
      <sz val="11"/>
      <color rgb="FF006100"/>
      <name val="Chalet-ParisNineteenSixty"/>
      <family val="2"/>
    </font>
    <font>
      <b/>
      <sz val="15"/>
      <color theme="3"/>
      <name val="Chalet-ParisNineteenSixty"/>
      <family val="2"/>
    </font>
    <font>
      <b/>
      <sz val="13"/>
      <color theme="3"/>
      <name val="Chalet-ParisNineteenSixty"/>
      <family val="2"/>
    </font>
    <font>
      <b/>
      <sz val="11"/>
      <color theme="3"/>
      <name val="Chalet-ParisNineteenSixty"/>
      <family val="2"/>
    </font>
    <font>
      <sz val="11"/>
      <color rgb="FF3F3F76"/>
      <name val="Chalet-ParisNineteenSixty"/>
      <family val="2"/>
    </font>
    <font>
      <sz val="11"/>
      <color rgb="FFFA7D00"/>
      <name val="Chalet-ParisNineteenSixty"/>
      <family val="2"/>
    </font>
    <font>
      <sz val="11"/>
      <color rgb="FF9C6500"/>
      <name val="Chalet-ParisNineteenSixty"/>
      <family val="2"/>
    </font>
    <font>
      <b/>
      <sz val="11"/>
      <color rgb="FF3F3F3F"/>
      <name val="Chalet-ParisNineteenSixty"/>
      <family val="2"/>
    </font>
    <font>
      <b/>
      <sz val="18"/>
      <color theme="3"/>
      <name val="Cambria"/>
      <family val="2"/>
    </font>
    <font>
      <b/>
      <sz val="11"/>
      <color theme="1"/>
      <name val="Chalet-ParisNineteenSixty"/>
      <family val="2"/>
    </font>
    <font>
      <sz val="11"/>
      <color rgb="FFFF0000"/>
      <name val="Chalet-ParisNineteenSixty"/>
      <family val="2"/>
    </font>
    <font>
      <b/>
      <sz val="12"/>
      <color rgb="FF000000"/>
      <name val="Times New Roman"/>
      <family val="1"/>
    </font>
    <font>
      <b/>
      <sz val="11"/>
      <color rgb="FF0066CC"/>
      <name val="Chalet-ParisNineteenSixty"/>
      <family val="3"/>
    </font>
    <font>
      <sz val="11"/>
      <color rgb="FF0066CC"/>
      <name val="Chalet-ParisNineteenSixty"/>
      <family val="3"/>
    </font>
    <font>
      <b/>
      <sz val="11"/>
      <color rgb="FFFF0000"/>
      <name val="Chalet-ParisNineteenSixty"/>
      <family val="3"/>
    </font>
    <font>
      <b/>
      <sz val="11"/>
      <color rgb="FF0070C0"/>
      <name val="Chalet-ParisNineteenSixty"/>
      <family val="3"/>
    </font>
    <font>
      <sz val="11"/>
      <color rgb="FFFF0000"/>
      <name val="Times New Roman"/>
      <family val="1"/>
    </font>
    <font>
      <b/>
      <sz val="12"/>
      <color rgb="FF0070C0"/>
      <name val="Chalet-ParisNineteenSixty"/>
      <family val="3"/>
    </font>
    <font>
      <b/>
      <sz val="11"/>
      <color rgb="FFFF0000"/>
      <name val="Times New Roman"/>
      <family val="1"/>
    </font>
    <font>
      <b/>
      <sz val="12"/>
      <color theme="1"/>
      <name val="Chalet-ParisNineteenSixty"/>
      <family val="3"/>
    </font>
    <font>
      <b/>
      <sz val="10"/>
      <color theme="1"/>
      <name val="Chalet-ParisNineteenSixty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58" fillId="0" borderId="0" xfId="55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1" fontId="6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1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 quotePrefix="1">
      <alignment horizontal="center"/>
    </xf>
    <xf numFmtId="0" fontId="12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12" fillId="0" borderId="10" xfId="0" applyNumberFormat="1" applyFont="1" applyFill="1" applyBorder="1" applyAlignment="1">
      <alignment/>
    </xf>
    <xf numFmtId="1" fontId="61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1" fontId="6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1" fontId="62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63" fillId="0" borderId="13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1" fontId="12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 quotePrefix="1">
      <alignment horizontal="center"/>
    </xf>
    <xf numFmtId="1" fontId="16" fillId="0" borderId="1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10" fillId="0" borderId="12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37" fontId="12" fillId="0" borderId="17" xfId="44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11" xfId="0" applyFont="1" applyBorder="1" applyAlignment="1">
      <alignment/>
    </xf>
    <xf numFmtId="1" fontId="12" fillId="0" borderId="19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12" fillId="0" borderId="1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" fontId="13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1" fontId="41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9" xfId="0" applyFont="1" applyBorder="1" applyAlignment="1">
      <alignment horizontal="right"/>
    </xf>
    <xf numFmtId="1" fontId="16" fillId="0" borderId="12" xfId="0" applyNumberFormat="1" applyFont="1" applyBorder="1" applyAlignment="1">
      <alignment/>
    </xf>
    <xf numFmtId="0" fontId="11" fillId="0" borderId="20" xfId="0" applyFont="1" applyBorder="1" applyAlignment="1">
      <alignment horizontal="right"/>
    </xf>
    <xf numFmtId="0" fontId="12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/>
    </xf>
    <xf numFmtId="1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2" fillId="3" borderId="1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6" fillId="0" borderId="0" xfId="55" applyFont="1" applyBorder="1" applyAlignment="1">
      <alignment horizontal="left"/>
      <protection/>
    </xf>
    <xf numFmtId="0" fontId="66" fillId="0" borderId="0" xfId="55" applyFont="1" applyBorder="1" applyAlignment="1">
      <alignment horizontal="center"/>
      <protection/>
    </xf>
    <xf numFmtId="0" fontId="64" fillId="0" borderId="10" xfId="55" applyFont="1" applyBorder="1" applyAlignment="1">
      <alignment horizontal="center"/>
      <protection/>
    </xf>
    <xf numFmtId="0" fontId="67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left"/>
    </xf>
    <xf numFmtId="1" fontId="56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64" fillId="0" borderId="0" xfId="55" applyFont="1" applyBorder="1" applyAlignment="1">
      <alignment horizontal="center"/>
      <protection/>
    </xf>
    <xf numFmtId="0" fontId="9" fillId="0" borderId="10" xfId="0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37" fontId="12" fillId="0" borderId="10" xfId="44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30.57421875" style="0" customWidth="1"/>
    <col min="3" max="3" width="20.00390625" style="0" customWidth="1"/>
    <col min="4" max="4" width="18.421875" style="0" bestFit="1" customWidth="1"/>
  </cols>
  <sheetData>
    <row r="1" spans="1:4" ht="15">
      <c r="A1" s="1"/>
      <c r="B1" s="2"/>
      <c r="C1" s="3"/>
      <c r="D1" s="99"/>
    </row>
    <row r="2" spans="1:4" s="4" customFormat="1" ht="15.75">
      <c r="A2" s="118" t="s">
        <v>50</v>
      </c>
      <c r="B2" s="118"/>
      <c r="C2" s="118"/>
      <c r="D2" s="118"/>
    </row>
    <row r="3" spans="1:4" s="4" customFormat="1" ht="11.25" customHeight="1">
      <c r="A3" s="5"/>
      <c r="B3" s="6"/>
      <c r="C3" s="7"/>
      <c r="D3" s="8"/>
    </row>
    <row r="4" spans="1:4" ht="15.75">
      <c r="A4" s="119" t="s">
        <v>52</v>
      </c>
      <c r="B4" s="119"/>
      <c r="C4" s="119"/>
      <c r="D4" s="119"/>
    </row>
    <row r="5" spans="1:4" ht="15.75" hidden="1">
      <c r="A5" s="120" t="s">
        <v>37</v>
      </c>
      <c r="B5" s="120"/>
      <c r="C5" s="120"/>
      <c r="D5" s="120"/>
    </row>
    <row r="6" spans="1:4" ht="15.75">
      <c r="A6" s="110" t="s">
        <v>0</v>
      </c>
      <c r="B6" s="111" t="s">
        <v>53</v>
      </c>
      <c r="C6" s="110" t="s">
        <v>1</v>
      </c>
      <c r="D6" s="112"/>
    </row>
    <row r="7" spans="1:4" ht="15.75">
      <c r="A7" s="110" t="s">
        <v>2</v>
      </c>
      <c r="B7" s="113" t="s">
        <v>54</v>
      </c>
      <c r="C7" s="110" t="s">
        <v>3</v>
      </c>
      <c r="D7" s="114"/>
    </row>
    <row r="8" spans="1:4" ht="15.75">
      <c r="A8" s="121" t="s">
        <v>4</v>
      </c>
      <c r="B8" s="122" t="s">
        <v>5</v>
      </c>
      <c r="C8" s="123" t="s">
        <v>6</v>
      </c>
      <c r="D8" s="123"/>
    </row>
    <row r="9" spans="1:4" ht="15.75">
      <c r="A9" s="121"/>
      <c r="B9" s="122"/>
      <c r="C9" s="115" t="s">
        <v>7</v>
      </c>
      <c r="D9" s="115" t="s">
        <v>8</v>
      </c>
    </row>
    <row r="10" spans="1:4" ht="15.75">
      <c r="A10" s="52"/>
      <c r="B10" s="53"/>
      <c r="C10" s="95" t="s">
        <v>5</v>
      </c>
      <c r="D10" s="95" t="s">
        <v>5</v>
      </c>
    </row>
    <row r="11" spans="1:4" ht="15">
      <c r="A11" s="124" t="s">
        <v>40</v>
      </c>
      <c r="B11" s="125"/>
      <c r="C11" s="125"/>
      <c r="D11" s="126"/>
    </row>
    <row r="12" spans="1:4" ht="15">
      <c r="A12" s="127" t="s">
        <v>10</v>
      </c>
      <c r="B12" s="127"/>
      <c r="C12" s="127" t="s">
        <v>11</v>
      </c>
      <c r="D12" s="127"/>
    </row>
    <row r="13" spans="1:4" ht="15">
      <c r="A13" s="15" t="s">
        <v>12</v>
      </c>
      <c r="B13" s="16">
        <f>C27*40%</f>
        <v>7846.400000000001</v>
      </c>
      <c r="C13" s="15" t="s">
        <v>13</v>
      </c>
      <c r="D13" s="17" t="str">
        <f>+IF((B13&gt;=0)*(B13&lt;=6500),(B13*12%),(IF((B13&gt;6500)*(B13&gt;=6500),"780",)))</f>
        <v>780</v>
      </c>
    </row>
    <row r="14" spans="1:4" ht="15">
      <c r="A14" s="15"/>
      <c r="B14" s="16"/>
      <c r="C14" s="15"/>
      <c r="D14" s="16"/>
    </row>
    <row r="15" spans="1:4" ht="15">
      <c r="A15" s="15" t="s">
        <v>15</v>
      </c>
      <c r="B15" s="16">
        <f>B13*40%</f>
        <v>3138.5600000000004</v>
      </c>
      <c r="C15" s="15" t="s">
        <v>16</v>
      </c>
      <c r="D15" s="18" t="str">
        <f>+IF((B22&gt;=0)*(B22&lt;=5000),0,(IF((B22&gt;5000)*(B22&lt;=6000),"60",(IF((B22&gt;6000)*(B22&lt;=10000),"80",(IF((B22&gt;10000)*(B22&lt;=15000),"100",(IF((B22&gt;15000)*(B22&lt;=20000),"150",(IF((B22&gt;20000),"200","")))))))))))</f>
        <v>150</v>
      </c>
    </row>
    <row r="16" spans="1:4" ht="15">
      <c r="A16" s="43" t="s">
        <v>17</v>
      </c>
      <c r="B16" s="44">
        <v>800</v>
      </c>
      <c r="C16" s="21"/>
      <c r="D16" s="21"/>
    </row>
    <row r="17" spans="1:4" ht="15">
      <c r="A17" s="43" t="s">
        <v>18</v>
      </c>
      <c r="B17" s="44">
        <v>200</v>
      </c>
      <c r="C17" s="21"/>
      <c r="D17" s="21"/>
    </row>
    <row r="18" spans="1:4" ht="15">
      <c r="A18" s="43" t="s">
        <v>19</v>
      </c>
      <c r="B18" s="44">
        <v>500</v>
      </c>
      <c r="C18" s="21"/>
      <c r="D18" s="21"/>
    </row>
    <row r="19" spans="1:4" ht="15">
      <c r="A19" s="45" t="s">
        <v>20</v>
      </c>
      <c r="B19" s="46">
        <f>SUM(B13:B18)</f>
        <v>12484.960000000001</v>
      </c>
      <c r="C19" s="47" t="s">
        <v>21</v>
      </c>
      <c r="D19" s="46">
        <f>+D13+D14+D15</f>
        <v>930</v>
      </c>
    </row>
    <row r="20" spans="1:4" ht="15">
      <c r="A20" s="25" t="s">
        <v>22</v>
      </c>
      <c r="B20" s="26">
        <f>(C27-B29)-B19</f>
        <v>5043.829759999999</v>
      </c>
      <c r="C20" s="27"/>
      <c r="D20" s="27"/>
    </row>
    <row r="21" spans="1:4" ht="15">
      <c r="A21" s="28"/>
      <c r="B21" s="26"/>
      <c r="C21" s="27"/>
      <c r="D21" s="27"/>
    </row>
    <row r="22" spans="1:4" ht="15">
      <c r="A22" s="25" t="s">
        <v>23</v>
      </c>
      <c r="B22" s="29">
        <f>(B13+B15+B16+B17+B18+B20)</f>
        <v>17528.78976</v>
      </c>
      <c r="C22" s="25" t="s">
        <v>24</v>
      </c>
      <c r="D22" s="48">
        <f>B22-D19</f>
        <v>16598.78976</v>
      </c>
    </row>
    <row r="23" spans="1:4" ht="15.75">
      <c r="A23" s="80"/>
      <c r="B23" s="81"/>
      <c r="C23" s="82"/>
      <c r="D23" s="83"/>
    </row>
    <row r="24" spans="1:4" ht="15">
      <c r="A24" s="84" t="s">
        <v>26</v>
      </c>
      <c r="B24" s="10"/>
      <c r="C24" s="116" t="s">
        <v>27</v>
      </c>
      <c r="D24" s="116" t="s">
        <v>28</v>
      </c>
    </row>
    <row r="25" spans="1:4" ht="15">
      <c r="A25" s="15" t="s">
        <v>13</v>
      </c>
      <c r="B25" s="17" t="str">
        <f>+D13</f>
        <v>780</v>
      </c>
      <c r="C25" s="61"/>
      <c r="D25" s="61"/>
    </row>
    <row r="26" spans="1:4" ht="15">
      <c r="A26" s="15" t="s">
        <v>29</v>
      </c>
      <c r="B26" s="16">
        <f>+B13*8.33%</f>
        <v>653.60512</v>
      </c>
      <c r="C26" s="62"/>
      <c r="D26" s="62"/>
    </row>
    <row r="27" spans="1:4" ht="15">
      <c r="A27" s="15"/>
      <c r="B27" s="16"/>
      <c r="C27" s="63">
        <f>D27/12</f>
        <v>19616</v>
      </c>
      <c r="D27" s="63">
        <f>+B34</f>
        <v>235392</v>
      </c>
    </row>
    <row r="28" spans="1:4" ht="15">
      <c r="A28" s="15" t="s">
        <v>31</v>
      </c>
      <c r="B28" s="16">
        <f>+B13*8.33%</f>
        <v>653.60512</v>
      </c>
      <c r="C28" s="62"/>
      <c r="D28" s="62"/>
    </row>
    <row r="29" spans="1:4" ht="15">
      <c r="A29" s="75" t="s">
        <v>32</v>
      </c>
      <c r="B29" s="46">
        <f>+B25+B26+B27+B28</f>
        <v>2087.2102400000003</v>
      </c>
      <c r="C29" s="76"/>
      <c r="D29" s="76"/>
    </row>
    <row r="30" spans="1:4" ht="15">
      <c r="A30" s="37"/>
      <c r="B30" s="38"/>
      <c r="C30" s="10"/>
      <c r="D30" s="10"/>
    </row>
    <row r="31" spans="1:4" ht="15">
      <c r="A31" s="85" t="s">
        <v>41</v>
      </c>
      <c r="B31" s="128">
        <f>+((C34)*40%)*4.8%</f>
        <v>4608</v>
      </c>
      <c r="C31" s="128"/>
      <c r="D31" s="128"/>
    </row>
    <row r="32" spans="1:4" ht="15">
      <c r="A32" s="11"/>
      <c r="B32" s="11"/>
      <c r="C32" s="11"/>
      <c r="D32" s="11"/>
    </row>
    <row r="33" spans="1:3" ht="15">
      <c r="A33" s="122" t="s">
        <v>42</v>
      </c>
      <c r="B33" s="116" t="s">
        <v>35</v>
      </c>
      <c r="C33" s="40" t="s">
        <v>36</v>
      </c>
    </row>
    <row r="34" spans="1:3" ht="15.75">
      <c r="A34" s="122"/>
      <c r="B34" s="77">
        <f>+C34-B31</f>
        <v>235392</v>
      </c>
      <c r="C34" s="78">
        <v>240000</v>
      </c>
    </row>
  </sheetData>
  <sheetProtection/>
  <mergeCells count="11">
    <mergeCell ref="A11:D11"/>
    <mergeCell ref="A12:B12"/>
    <mergeCell ref="C12:D12"/>
    <mergeCell ref="B31:D31"/>
    <mergeCell ref="A33:A34"/>
    <mergeCell ref="A2:D2"/>
    <mergeCell ref="A4:D4"/>
    <mergeCell ref="A5:D5"/>
    <mergeCell ref="A8:A9"/>
    <mergeCell ref="B8:B9"/>
    <mergeCell ref="C8:D8"/>
  </mergeCells>
  <printOptions/>
  <pageMargins left="0.7" right="0.7" top="1.34" bottom="0.75" header="0.3" footer="0.3"/>
  <pageSetup horizontalDpi="600" verticalDpi="600" orientation="portrait" paperSize="9" scale="90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view="pageBreakPreview" zoomScale="60" zoomScalePageLayoutView="0" workbookViewId="0" topLeftCell="A1">
      <selection activeCell="H16" sqref="H16"/>
    </sheetView>
  </sheetViews>
  <sheetFormatPr defaultColWidth="9.140625" defaultRowHeight="15"/>
  <cols>
    <col min="1" max="1" width="27.7109375" style="0" customWidth="1"/>
    <col min="2" max="2" width="35.421875" style="0" bestFit="1" customWidth="1"/>
    <col min="3" max="3" width="18.00390625" style="0" bestFit="1" customWidth="1"/>
    <col min="4" max="4" width="14.00390625" style="0" bestFit="1" customWidth="1"/>
  </cols>
  <sheetData>
    <row r="1" s="4" customFormat="1" ht="4.5" customHeight="1"/>
    <row r="2" ht="15">
      <c r="D2" s="99"/>
    </row>
    <row r="3" spans="1:4" ht="15.75">
      <c r="A3" s="118" t="s">
        <v>50</v>
      </c>
      <c r="B3" s="118"/>
      <c r="C3" s="118"/>
      <c r="D3" s="118"/>
    </row>
    <row r="4" spans="1:4" ht="15.75">
      <c r="A4" s="119" t="s">
        <v>52</v>
      </c>
      <c r="B4" s="119"/>
      <c r="C4" s="119"/>
      <c r="D4" s="119"/>
    </row>
    <row r="5" spans="1:4" ht="15.75">
      <c r="A5" s="13" t="s">
        <v>0</v>
      </c>
      <c r="B5" s="105" t="s">
        <v>53</v>
      </c>
      <c r="C5" s="13" t="s">
        <v>1</v>
      </c>
      <c r="D5" s="98"/>
    </row>
    <row r="6" spans="1:4" ht="15.75">
      <c r="A6" s="13" t="s">
        <v>2</v>
      </c>
      <c r="B6" s="106" t="s">
        <v>56</v>
      </c>
      <c r="C6" s="13" t="s">
        <v>3</v>
      </c>
      <c r="D6" s="98"/>
    </row>
    <row r="7" spans="1:4" ht="15.75">
      <c r="A7" s="121" t="s">
        <v>4</v>
      </c>
      <c r="B7" s="129" t="s">
        <v>5</v>
      </c>
      <c r="C7" s="123" t="s">
        <v>6</v>
      </c>
      <c r="D7" s="123"/>
    </row>
    <row r="8" spans="1:4" ht="15.75">
      <c r="A8" s="121"/>
      <c r="B8" s="129"/>
      <c r="C8" s="94" t="s">
        <v>7</v>
      </c>
      <c r="D8" s="94" t="s">
        <v>8</v>
      </c>
    </row>
    <row r="9" spans="1:4" ht="15.75">
      <c r="A9" s="52"/>
      <c r="B9" s="53"/>
      <c r="C9" s="95" t="s">
        <v>5</v>
      </c>
      <c r="D9" s="95" t="s">
        <v>5</v>
      </c>
    </row>
    <row r="10" spans="1:4" ht="19.5" customHeight="1">
      <c r="A10" s="130" t="s">
        <v>38</v>
      </c>
      <c r="B10" s="130"/>
      <c r="C10" s="130"/>
      <c r="D10" s="130"/>
    </row>
    <row r="11" spans="1:4" ht="15">
      <c r="A11" s="127" t="s">
        <v>10</v>
      </c>
      <c r="B11" s="127"/>
      <c r="C11" s="127" t="s">
        <v>11</v>
      </c>
      <c r="D11" s="127"/>
    </row>
    <row r="12" spans="1:4" ht="15">
      <c r="A12" s="15" t="s">
        <v>12</v>
      </c>
      <c r="B12" s="16">
        <f>C26*40%</f>
        <v>4740.533333333334</v>
      </c>
      <c r="C12" s="15" t="s">
        <v>13</v>
      </c>
      <c r="D12" s="17">
        <f>+IF((B12&gt;=0)*(B12&lt;=6500),(B12*12%),(IF((B12&gt;6500)*(B12&gt;=6500),"780",)))</f>
        <v>568.864</v>
      </c>
    </row>
    <row r="13" spans="1:4" ht="15">
      <c r="A13" s="15"/>
      <c r="B13" s="16"/>
      <c r="C13" s="15" t="s">
        <v>14</v>
      </c>
      <c r="D13" s="16">
        <f>B21*1.75%</f>
        <v>181.89279319013525</v>
      </c>
    </row>
    <row r="14" spans="1:4" ht="15">
      <c r="A14" s="15" t="s">
        <v>15</v>
      </c>
      <c r="B14" s="16">
        <f>B12*40%</f>
        <v>1896.2133333333336</v>
      </c>
      <c r="C14" s="15" t="s">
        <v>16</v>
      </c>
      <c r="D14" s="18" t="str">
        <f>+IF((B21&gt;=0)*(B21&lt;=5000),0,(IF((B21&gt;5000)*(B21&lt;=6000),"60",(IF((B21&gt;6000)*(B21&lt;=10000),"80",(IF((B21&gt;10000)*(B21&lt;=15000),"100",(IF((B21&gt;15000)*(B21&lt;=20000),"150",(IF((B21&gt;20000),"200","")))))))))))</f>
        <v>100</v>
      </c>
    </row>
    <row r="15" spans="1:4" ht="15">
      <c r="A15" s="43" t="s">
        <v>17</v>
      </c>
      <c r="B15" s="44">
        <v>800</v>
      </c>
      <c r="C15" s="21"/>
      <c r="D15" s="18"/>
    </row>
    <row r="16" spans="1:4" ht="15">
      <c r="A16" s="43" t="s">
        <v>18</v>
      </c>
      <c r="B16" s="44">
        <v>200</v>
      </c>
      <c r="C16" s="21"/>
      <c r="D16" s="21"/>
    </row>
    <row r="17" spans="1:4" ht="15">
      <c r="A17" s="43" t="s">
        <v>19</v>
      </c>
      <c r="B17" s="44">
        <v>500</v>
      </c>
      <c r="C17" s="21"/>
      <c r="D17" s="21"/>
    </row>
    <row r="18" spans="1:4" ht="15">
      <c r="A18" s="45" t="s">
        <v>20</v>
      </c>
      <c r="B18" s="46">
        <f>SUM(B12:B17)</f>
        <v>8136.746666666668</v>
      </c>
      <c r="C18" s="47" t="s">
        <v>21</v>
      </c>
      <c r="D18" s="46">
        <f>+D12+D13+D14</f>
        <v>850.7567931901353</v>
      </c>
    </row>
    <row r="19" spans="1:4" ht="15">
      <c r="A19" s="25" t="s">
        <v>22</v>
      </c>
      <c r="B19" s="26">
        <f>(C26-((B18*1.0475)+B27))/1.0475</f>
        <v>2257.127229912488</v>
      </c>
      <c r="C19" s="28"/>
      <c r="D19" s="28"/>
    </row>
    <row r="20" spans="1:4" ht="15">
      <c r="A20" s="25"/>
      <c r="B20" s="26"/>
      <c r="C20" s="28"/>
      <c r="D20" s="28"/>
    </row>
    <row r="21" spans="1:4" ht="15">
      <c r="A21" s="25" t="s">
        <v>39</v>
      </c>
      <c r="B21" s="29">
        <f>(B12+B14+B15+B16+B17+B19)</f>
        <v>10393.873896579156</v>
      </c>
      <c r="C21" s="25" t="s">
        <v>24</v>
      </c>
      <c r="D21" s="48">
        <f>B21-D18</f>
        <v>9543.11710338902</v>
      </c>
    </row>
    <row r="22" spans="1:4" ht="15">
      <c r="A22" s="50"/>
      <c r="B22" s="10"/>
      <c r="C22" s="10"/>
      <c r="D22" s="49"/>
    </row>
    <row r="23" spans="1:4" ht="15">
      <c r="A23" s="54" t="s">
        <v>26</v>
      </c>
      <c r="B23" s="55"/>
      <c r="C23" s="93" t="s">
        <v>27</v>
      </c>
      <c r="D23" s="93" t="s">
        <v>28</v>
      </c>
    </row>
    <row r="24" spans="1:4" ht="15">
      <c r="A24" s="25" t="s">
        <v>13</v>
      </c>
      <c r="B24" s="17">
        <f>D12</f>
        <v>568.864</v>
      </c>
      <c r="C24" s="61"/>
      <c r="D24" s="61"/>
    </row>
    <row r="25" spans="1:4" ht="15">
      <c r="A25" s="25" t="s">
        <v>29</v>
      </c>
      <c r="B25" s="16">
        <f>B12*8.33%</f>
        <v>394.8864266666667</v>
      </c>
      <c r="C25" s="62"/>
      <c r="D25" s="62"/>
    </row>
    <row r="26" spans="1:4" ht="15">
      <c r="A26" s="25"/>
      <c r="B26" s="26"/>
      <c r="C26" s="63">
        <f>D26/12</f>
        <v>11851.333333333334</v>
      </c>
      <c r="D26" s="63">
        <f>+B34</f>
        <v>142216</v>
      </c>
    </row>
    <row r="27" spans="1:4" ht="15">
      <c r="A27" s="58" t="s">
        <v>20</v>
      </c>
      <c r="B27" s="29">
        <f>SUM(B24+B25)</f>
        <v>963.7504266666667</v>
      </c>
      <c r="C27" s="62"/>
      <c r="D27" s="62"/>
    </row>
    <row r="28" spans="1:4" ht="15">
      <c r="A28" s="25" t="s">
        <v>14</v>
      </c>
      <c r="B28" s="26">
        <f>(B21*4.75)%</f>
        <v>493.70901008750997</v>
      </c>
      <c r="C28" s="62"/>
      <c r="D28" s="62"/>
    </row>
    <row r="29" spans="1:4" ht="15">
      <c r="A29" s="59" t="s">
        <v>32</v>
      </c>
      <c r="B29" s="60">
        <f>(B24+B25+B28)</f>
        <v>1457.4594367541767</v>
      </c>
      <c r="C29" s="64"/>
      <c r="D29" s="64"/>
    </row>
    <row r="30" spans="1:4" ht="15">
      <c r="A30" s="56"/>
      <c r="B30" s="57"/>
      <c r="C30" s="51"/>
      <c r="D30" s="51"/>
    </row>
    <row r="31" spans="1:4" ht="15">
      <c r="A31" s="65" t="s">
        <v>44</v>
      </c>
      <c r="B31" s="66">
        <f>+((C34)*40%)*4.8%</f>
        <v>2784</v>
      </c>
      <c r="C31" s="55"/>
      <c r="D31" s="51"/>
    </row>
    <row r="32" spans="1:4" ht="15">
      <c r="A32" s="67"/>
      <c r="B32" s="67"/>
      <c r="C32" s="67"/>
      <c r="D32" s="51"/>
    </row>
    <row r="33" spans="1:4" ht="15">
      <c r="A33" s="68" t="s">
        <v>34</v>
      </c>
      <c r="B33" s="96" t="s">
        <v>35</v>
      </c>
      <c r="C33" s="40" t="s">
        <v>36</v>
      </c>
      <c r="D33" s="51"/>
    </row>
    <row r="34" spans="1:4" ht="15">
      <c r="A34" s="69"/>
      <c r="B34" s="70">
        <f>+C34-B31</f>
        <v>142216</v>
      </c>
      <c r="C34" s="71">
        <v>145000</v>
      </c>
      <c r="D34" s="51"/>
    </row>
  </sheetData>
  <sheetProtection/>
  <mergeCells count="8">
    <mergeCell ref="A10:D10"/>
    <mergeCell ref="A11:B11"/>
    <mergeCell ref="C11:D11"/>
    <mergeCell ref="A3:D3"/>
    <mergeCell ref="A4:D4"/>
    <mergeCell ref="A7:A8"/>
    <mergeCell ref="B7:B8"/>
    <mergeCell ref="C7:D7"/>
  </mergeCells>
  <printOptions/>
  <pageMargins left="0.7" right="0.7" top="1.34" bottom="0.75" header="0.3" footer="0.3"/>
  <pageSetup horizontalDpi="600" verticalDpi="600" orientation="portrait" paperSize="9" scale="90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2" sqref="A2:D3"/>
    </sheetView>
  </sheetViews>
  <sheetFormatPr defaultColWidth="9.140625" defaultRowHeight="15"/>
  <cols>
    <col min="1" max="1" width="27.140625" style="0" customWidth="1"/>
    <col min="2" max="2" width="27.57421875" style="0" customWidth="1"/>
    <col min="3" max="3" width="23.00390625" style="0" customWidth="1"/>
    <col min="4" max="4" width="18.140625" style="0" customWidth="1"/>
  </cols>
  <sheetData>
    <row r="1" ht="15">
      <c r="D1" s="99"/>
    </row>
    <row r="2" spans="1:4" ht="15.75">
      <c r="A2" s="118" t="s">
        <v>50</v>
      </c>
      <c r="B2" s="118"/>
      <c r="C2" s="118"/>
      <c r="D2" s="118"/>
    </row>
    <row r="3" spans="1:4" ht="15.75">
      <c r="A3" s="119" t="s">
        <v>52</v>
      </c>
      <c r="B3" s="119"/>
      <c r="C3" s="119"/>
      <c r="D3" s="119"/>
    </row>
    <row r="4" spans="1:4" ht="15.75">
      <c r="A4" s="110" t="s">
        <v>0</v>
      </c>
      <c r="B4" s="111" t="s">
        <v>53</v>
      </c>
      <c r="C4" s="110" t="s">
        <v>1</v>
      </c>
      <c r="D4" s="112"/>
    </row>
    <row r="5" spans="1:4" ht="15.75">
      <c r="A5" s="110" t="s">
        <v>2</v>
      </c>
      <c r="B5" s="113" t="s">
        <v>54</v>
      </c>
      <c r="C5" s="110" t="s">
        <v>3</v>
      </c>
      <c r="D5" s="114"/>
    </row>
    <row r="6" spans="1:4" ht="15.75" customHeight="1">
      <c r="A6" s="121" t="s">
        <v>4</v>
      </c>
      <c r="B6" s="122" t="s">
        <v>55</v>
      </c>
      <c r="C6" s="123" t="s">
        <v>6</v>
      </c>
      <c r="D6" s="123"/>
    </row>
    <row r="7" spans="1:4" ht="15.75">
      <c r="A7" s="121"/>
      <c r="B7" s="122"/>
      <c r="C7" s="117" t="s">
        <v>7</v>
      </c>
      <c r="D7" s="117" t="s">
        <v>8</v>
      </c>
    </row>
    <row r="8" spans="1:4" ht="15.75">
      <c r="A8" s="52"/>
      <c r="B8" s="53"/>
      <c r="C8" s="95" t="s">
        <v>5</v>
      </c>
      <c r="D8" s="95" t="s">
        <v>5</v>
      </c>
    </row>
    <row r="9" spans="1:4" ht="15">
      <c r="A9" s="131" t="s">
        <v>43</v>
      </c>
      <c r="B9" s="131"/>
      <c r="C9" s="131"/>
      <c r="D9" s="131"/>
    </row>
    <row r="10" spans="1:4" ht="15">
      <c r="A10" s="131" t="s">
        <v>10</v>
      </c>
      <c r="B10" s="131"/>
      <c r="C10" s="131" t="s">
        <v>11</v>
      </c>
      <c r="D10" s="131"/>
    </row>
    <row r="11" spans="1:4" ht="15">
      <c r="A11" s="15" t="s">
        <v>12</v>
      </c>
      <c r="B11" s="16">
        <f>C25*40%</f>
        <v>6865.6</v>
      </c>
      <c r="C11" s="15" t="s">
        <v>13</v>
      </c>
      <c r="D11" s="87" t="str">
        <f>+IF((B11&gt;=0)*(B11&lt;=6500),(B11*12%),(IF((B11&gt;6500)*(B11&gt;=6500),"780",)))</f>
        <v>780</v>
      </c>
    </row>
    <row r="12" spans="1:4" ht="15">
      <c r="A12" s="15"/>
      <c r="B12" s="16"/>
      <c r="C12" s="15" t="s">
        <v>14</v>
      </c>
      <c r="D12" s="16">
        <f>B20*1.75%</f>
        <v>254.60939684964202</v>
      </c>
    </row>
    <row r="13" spans="1:4" ht="15">
      <c r="A13" s="15" t="s">
        <v>15</v>
      </c>
      <c r="B13" s="16">
        <f>B11*40%</f>
        <v>2746.2400000000002</v>
      </c>
      <c r="C13" s="15" t="s">
        <v>16</v>
      </c>
      <c r="D13" s="88" t="str">
        <f>+IF((B20&gt;=0)*(B20&lt;=5000),0,(IF((B20&gt;5000)*(B20&lt;=6000),"60",(IF((B20&gt;6000)*(B20&lt;=10000),"80",(IF((B20&gt;10000)*(B20&lt;=15000),"100",(IF((B20&gt;15000)*(B20&lt;=20000),"150",(IF((B20&gt;20000),"200","")))))))))))</f>
        <v>100</v>
      </c>
    </row>
    <row r="14" spans="1:4" ht="15">
      <c r="A14" s="43" t="s">
        <v>17</v>
      </c>
      <c r="B14" s="44">
        <v>800</v>
      </c>
      <c r="C14" s="21"/>
      <c r="D14" s="18"/>
    </row>
    <row r="15" spans="1:4" ht="15">
      <c r="A15" s="43" t="s">
        <v>18</v>
      </c>
      <c r="B15" s="44">
        <v>200</v>
      </c>
      <c r="C15" s="21"/>
      <c r="D15" s="21"/>
    </row>
    <row r="16" spans="1:4" ht="15">
      <c r="A16" s="43" t="s">
        <v>19</v>
      </c>
      <c r="B16" s="44">
        <v>500</v>
      </c>
      <c r="C16" s="21"/>
      <c r="D16" s="21"/>
    </row>
    <row r="17" spans="1:4" ht="15">
      <c r="A17" s="45" t="s">
        <v>20</v>
      </c>
      <c r="B17" s="46">
        <f>SUM(B11:B16)</f>
        <v>11111.84</v>
      </c>
      <c r="C17" s="47" t="s">
        <v>21</v>
      </c>
      <c r="D17" s="46">
        <f>+D11+D12+D13</f>
        <v>1134.609396849642</v>
      </c>
    </row>
    <row r="18" spans="1:4" ht="15">
      <c r="A18" s="25" t="s">
        <v>22</v>
      </c>
      <c r="B18" s="26">
        <f>(C25-((B17*1.0475)+B26))/1.0475</f>
        <v>3437.268391408113</v>
      </c>
      <c r="C18" s="28"/>
      <c r="D18" s="28"/>
    </row>
    <row r="19" spans="1:4" ht="15">
      <c r="A19" s="25"/>
      <c r="B19" s="26"/>
      <c r="C19" s="28"/>
      <c r="D19" s="28"/>
    </row>
    <row r="20" spans="1:4" ht="15">
      <c r="A20" s="25" t="s">
        <v>39</v>
      </c>
      <c r="B20" s="29">
        <f>(B11+B13+B14+B15+B16+B18)</f>
        <v>14549.108391408114</v>
      </c>
      <c r="C20" s="25" t="s">
        <v>24</v>
      </c>
      <c r="D20" s="48">
        <f>B20-D17</f>
        <v>13414.498994558471</v>
      </c>
    </row>
    <row r="21" spans="1:4" ht="15">
      <c r="A21" s="89"/>
      <c r="B21" s="51"/>
      <c r="C21" s="51"/>
      <c r="D21" s="90"/>
    </row>
    <row r="22" spans="1:4" ht="15">
      <c r="A22" s="54" t="s">
        <v>26</v>
      </c>
      <c r="B22" s="55"/>
      <c r="C22" s="93" t="s">
        <v>27</v>
      </c>
      <c r="D22" s="93" t="s">
        <v>28</v>
      </c>
    </row>
    <row r="23" spans="1:4" ht="15">
      <c r="A23" s="15" t="s">
        <v>13</v>
      </c>
      <c r="B23" s="17" t="str">
        <f>D11</f>
        <v>780</v>
      </c>
      <c r="C23" s="61"/>
      <c r="D23" s="61"/>
    </row>
    <row r="24" spans="1:4" ht="15">
      <c r="A24" s="15" t="s">
        <v>29</v>
      </c>
      <c r="B24" s="16">
        <f>B11*8.33%</f>
        <v>571.90448</v>
      </c>
      <c r="C24" s="62"/>
      <c r="D24" s="62"/>
    </row>
    <row r="25" spans="1:4" ht="15">
      <c r="A25" s="91" t="s">
        <v>30</v>
      </c>
      <c r="B25" s="16">
        <f>+B11*8.33%</f>
        <v>571.90448</v>
      </c>
      <c r="C25" s="63">
        <f>D25/12</f>
        <v>17164</v>
      </c>
      <c r="D25" s="63">
        <f>B33</f>
        <v>205968</v>
      </c>
    </row>
    <row r="26" spans="1:4" ht="15">
      <c r="A26" s="58" t="s">
        <v>20</v>
      </c>
      <c r="B26" s="29">
        <f>SUM(B23+B24+B25)</f>
        <v>1923.8089600000003</v>
      </c>
      <c r="C26" s="62"/>
      <c r="D26" s="62"/>
    </row>
    <row r="27" spans="1:4" ht="15">
      <c r="A27" s="25" t="s">
        <v>14</v>
      </c>
      <c r="B27" s="26">
        <f>(B20*4.75)%</f>
        <v>691.0826485918853</v>
      </c>
      <c r="C27" s="62"/>
      <c r="D27" s="62"/>
    </row>
    <row r="28" spans="1:4" ht="15">
      <c r="A28" s="75" t="s">
        <v>32</v>
      </c>
      <c r="B28" s="60">
        <f>(B23+B24+B25+B27)</f>
        <v>2614.8916085918854</v>
      </c>
      <c r="C28" s="64"/>
      <c r="D28" s="64"/>
    </row>
    <row r="29" spans="1:4" ht="15">
      <c r="A29" s="56"/>
      <c r="B29" s="57"/>
      <c r="C29" s="51"/>
      <c r="D29" s="51"/>
    </row>
    <row r="30" spans="1:4" ht="15">
      <c r="A30" s="79" t="s">
        <v>41</v>
      </c>
      <c r="B30" s="132">
        <f>+((C33)*40%)*4.8%</f>
        <v>4032</v>
      </c>
      <c r="C30" s="132"/>
      <c r="D30" s="133"/>
    </row>
    <row r="31" spans="1:4" ht="15">
      <c r="A31" s="92"/>
      <c r="B31" s="11"/>
      <c r="C31" s="92"/>
      <c r="D31" s="92"/>
    </row>
    <row r="32" spans="1:3" ht="15">
      <c r="A32" s="122" t="s">
        <v>42</v>
      </c>
      <c r="B32" s="96" t="s">
        <v>35</v>
      </c>
      <c r="C32" s="40" t="s">
        <v>36</v>
      </c>
    </row>
    <row r="33" spans="1:3" ht="15.75">
      <c r="A33" s="122"/>
      <c r="B33" s="77">
        <f>+C33-B30</f>
        <v>205968</v>
      </c>
      <c r="C33" s="78">
        <v>210000</v>
      </c>
    </row>
    <row r="34" spans="1:4" ht="15.75">
      <c r="A34" s="101"/>
      <c r="B34" s="100"/>
      <c r="C34" s="102"/>
      <c r="D34" s="67"/>
    </row>
  </sheetData>
  <sheetProtection/>
  <mergeCells count="10">
    <mergeCell ref="A6:A7"/>
    <mergeCell ref="B6:B7"/>
    <mergeCell ref="C6:D6"/>
    <mergeCell ref="A2:D2"/>
    <mergeCell ref="A3:D3"/>
    <mergeCell ref="A9:D9"/>
    <mergeCell ref="A10:B10"/>
    <mergeCell ref="C10:D10"/>
    <mergeCell ref="B30:D30"/>
    <mergeCell ref="A32:A33"/>
  </mergeCells>
  <printOptions/>
  <pageMargins left="0.7" right="0.7" top="1.34" bottom="0.75" header="0.3" footer="0.3"/>
  <pageSetup horizontalDpi="600" verticalDpi="600" orientation="portrait" paperSize="9" scale="84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4"/>
    </sheetView>
  </sheetViews>
  <sheetFormatPr defaultColWidth="9.140625" defaultRowHeight="15"/>
  <cols>
    <col min="1" max="1" width="24.7109375" style="0" customWidth="1"/>
    <col min="2" max="2" width="33.57421875" style="0" bestFit="1" customWidth="1"/>
    <col min="3" max="3" width="18.00390625" style="0" bestFit="1" customWidth="1"/>
    <col min="4" max="4" width="18.421875" style="0" bestFit="1" customWidth="1"/>
  </cols>
  <sheetData>
    <row r="1" spans="1:4" ht="15">
      <c r="A1" s="1"/>
      <c r="B1" s="2"/>
      <c r="C1" s="3"/>
      <c r="D1" s="99" t="s">
        <v>46</v>
      </c>
    </row>
    <row r="2" spans="1:4" s="4" customFormat="1" ht="15.75">
      <c r="A2" s="118" t="s">
        <v>50</v>
      </c>
      <c r="B2" s="118"/>
      <c r="C2" s="118"/>
      <c r="D2" s="118"/>
    </row>
    <row r="3" spans="1:4" s="4" customFormat="1" ht="11.25" customHeight="1">
      <c r="A3" s="5"/>
      <c r="B3" s="6"/>
      <c r="C3" s="7"/>
      <c r="D3" s="8"/>
    </row>
    <row r="4" spans="1:4" ht="15.75">
      <c r="A4" s="119" t="s">
        <v>52</v>
      </c>
      <c r="B4" s="119"/>
      <c r="C4" s="119"/>
      <c r="D4" s="119"/>
    </row>
    <row r="5" spans="1:4" ht="15.75" hidden="1">
      <c r="A5" s="120" t="s">
        <v>37</v>
      </c>
      <c r="B5" s="120"/>
      <c r="C5" s="120"/>
      <c r="D5" s="120"/>
    </row>
    <row r="6" spans="1:4" ht="15.75">
      <c r="A6" s="13" t="s">
        <v>0</v>
      </c>
      <c r="B6" s="86" t="s">
        <v>53</v>
      </c>
      <c r="C6" s="13" t="s">
        <v>1</v>
      </c>
      <c r="D6" s="93"/>
    </row>
    <row r="7" spans="1:4" ht="15.75">
      <c r="A7" s="13" t="s">
        <v>2</v>
      </c>
      <c r="B7" s="104" t="s">
        <v>48</v>
      </c>
      <c r="C7" s="13" t="s">
        <v>3</v>
      </c>
      <c r="D7" s="98" t="s">
        <v>47</v>
      </c>
    </row>
    <row r="8" spans="1:4" ht="15.75">
      <c r="A8" s="121" t="s">
        <v>4</v>
      </c>
      <c r="B8" s="122" t="s">
        <v>5</v>
      </c>
      <c r="C8" s="123" t="s">
        <v>6</v>
      </c>
      <c r="D8" s="123"/>
    </row>
    <row r="9" spans="1:4" ht="15.75">
      <c r="A9" s="121"/>
      <c r="B9" s="122"/>
      <c r="C9" s="94" t="s">
        <v>7</v>
      </c>
      <c r="D9" s="94" t="s">
        <v>8</v>
      </c>
    </row>
    <row r="10" spans="1:4" ht="15.75">
      <c r="A10" s="52"/>
      <c r="B10" s="53"/>
      <c r="C10" s="95" t="s">
        <v>5</v>
      </c>
      <c r="D10" s="95" t="s">
        <v>5</v>
      </c>
    </row>
    <row r="11" spans="1:4" ht="15">
      <c r="A11" s="124" t="s">
        <v>40</v>
      </c>
      <c r="B11" s="125"/>
      <c r="C11" s="125"/>
      <c r="D11" s="126"/>
    </row>
    <row r="12" spans="1:4" ht="15">
      <c r="A12" s="127" t="s">
        <v>10</v>
      </c>
      <c r="B12" s="127"/>
      <c r="C12" s="127" t="s">
        <v>11</v>
      </c>
      <c r="D12" s="127"/>
    </row>
    <row r="13" spans="1:4" ht="15">
      <c r="A13" s="15" t="s">
        <v>12</v>
      </c>
      <c r="B13" s="16">
        <f>C27*40%</f>
        <v>12423.466666666667</v>
      </c>
      <c r="C13" s="15" t="s">
        <v>13</v>
      </c>
      <c r="D13" s="17" t="str">
        <f>+IF((B13&gt;=0)*(B13&lt;=6500),(B13*12%),(IF((B13&gt;6500)*(B13&gt;=6500),"780",)))</f>
        <v>780</v>
      </c>
    </row>
    <row r="14" spans="1:4" ht="15">
      <c r="A14" s="15"/>
      <c r="B14" s="16"/>
      <c r="C14" s="15"/>
      <c r="D14" s="16"/>
    </row>
    <row r="15" spans="1:4" ht="15">
      <c r="A15" s="15" t="s">
        <v>15</v>
      </c>
      <c r="B15" s="16">
        <f>B13*40%</f>
        <v>4969.386666666667</v>
      </c>
      <c r="C15" s="15" t="s">
        <v>16</v>
      </c>
      <c r="D15" s="18" t="str">
        <f>+IF((B22&gt;=0)*(B22&lt;=5000),0,(IF((B22&gt;5000)*(B22&lt;=6000),"60",(IF((B22&gt;6000)*(B22&lt;=10000),"80",(IF((B22&gt;10000)*(B22&lt;=15000),"100",(IF((B22&gt;15000)*(B22&lt;=20000),"150",(IF((B22&gt;20000),"200","")))))))))))</f>
        <v>200</v>
      </c>
    </row>
    <row r="16" spans="1:4" ht="15">
      <c r="A16" s="43" t="s">
        <v>17</v>
      </c>
      <c r="B16" s="44">
        <v>800</v>
      </c>
      <c r="C16" s="21"/>
      <c r="D16" s="21"/>
    </row>
    <row r="17" spans="1:4" ht="15">
      <c r="A17" s="43" t="s">
        <v>18</v>
      </c>
      <c r="B17" s="44">
        <v>200</v>
      </c>
      <c r="C17" s="21"/>
      <c r="D17" s="21"/>
    </row>
    <row r="18" spans="1:4" ht="15">
      <c r="A18" s="43" t="s">
        <v>19</v>
      </c>
      <c r="B18" s="44">
        <v>500</v>
      </c>
      <c r="C18" s="21"/>
      <c r="D18" s="21"/>
    </row>
    <row r="19" spans="1:4" ht="15">
      <c r="A19" s="45" t="s">
        <v>20</v>
      </c>
      <c r="B19" s="46">
        <f>SUM(B13:B18)</f>
        <v>18892.853333333333</v>
      </c>
      <c r="C19" s="47" t="s">
        <v>21</v>
      </c>
      <c r="D19" s="46">
        <f>+D13+D14+D15</f>
        <v>980</v>
      </c>
    </row>
    <row r="20" spans="1:4" ht="15">
      <c r="A20" s="25" t="s">
        <v>22</v>
      </c>
      <c r="B20" s="26">
        <f>(C27-B29)-B19</f>
        <v>8281.189013333336</v>
      </c>
      <c r="C20" s="27"/>
      <c r="D20" s="27"/>
    </row>
    <row r="21" spans="1:4" ht="15">
      <c r="A21" s="28"/>
      <c r="B21" s="26"/>
      <c r="C21" s="27"/>
      <c r="D21" s="27"/>
    </row>
    <row r="22" spans="1:4" ht="15">
      <c r="A22" s="25" t="s">
        <v>23</v>
      </c>
      <c r="B22" s="29">
        <f>(B13+B15+B16+B17+B18+B20)</f>
        <v>27174.04234666667</v>
      </c>
      <c r="C22" s="25" t="s">
        <v>24</v>
      </c>
      <c r="D22" s="48">
        <f>B22-D19</f>
        <v>26194.04234666667</v>
      </c>
    </row>
    <row r="23" spans="1:4" ht="15.75">
      <c r="A23" s="80"/>
      <c r="B23" s="81"/>
      <c r="C23" s="82"/>
      <c r="D23" s="83"/>
    </row>
    <row r="24" spans="1:4" ht="15">
      <c r="A24" s="84" t="s">
        <v>26</v>
      </c>
      <c r="B24" s="10"/>
      <c r="C24" s="93" t="s">
        <v>27</v>
      </c>
      <c r="D24" s="93" t="s">
        <v>28</v>
      </c>
    </row>
    <row r="25" spans="1:4" ht="15">
      <c r="A25" s="15" t="s">
        <v>13</v>
      </c>
      <c r="B25" s="17" t="str">
        <f>+D13</f>
        <v>780</v>
      </c>
      <c r="C25" s="61"/>
      <c r="D25" s="61"/>
    </row>
    <row r="26" spans="1:4" ht="15">
      <c r="A26" s="15" t="s">
        <v>29</v>
      </c>
      <c r="B26" s="16">
        <f>+B13*8.33%</f>
        <v>1034.8747733333335</v>
      </c>
      <c r="C26" s="62"/>
      <c r="D26" s="62"/>
    </row>
    <row r="27" spans="1:4" ht="15">
      <c r="A27" s="15" t="s">
        <v>30</v>
      </c>
      <c r="B27" s="16">
        <f>B13*8.33%</f>
        <v>1034.8747733333335</v>
      </c>
      <c r="C27" s="63">
        <f>D27/12</f>
        <v>31058.666666666668</v>
      </c>
      <c r="D27" s="63">
        <f>+B34</f>
        <v>372704</v>
      </c>
    </row>
    <row r="28" spans="1:4" ht="15">
      <c r="A28" s="15" t="s">
        <v>31</v>
      </c>
      <c r="B28" s="16">
        <f>+B13*8.33%</f>
        <v>1034.8747733333335</v>
      </c>
      <c r="C28" s="62"/>
      <c r="D28" s="62"/>
    </row>
    <row r="29" spans="1:4" ht="15">
      <c r="A29" s="75" t="s">
        <v>32</v>
      </c>
      <c r="B29" s="46">
        <f>+B25+B26+B27+B28</f>
        <v>3884.6243200000004</v>
      </c>
      <c r="C29" s="76"/>
      <c r="D29" s="76"/>
    </row>
    <row r="30" spans="1:4" ht="15">
      <c r="A30" s="37"/>
      <c r="B30" s="38"/>
      <c r="C30" s="10"/>
      <c r="D30" s="10"/>
    </row>
    <row r="31" spans="1:4" ht="15">
      <c r="A31" s="85" t="s">
        <v>41</v>
      </c>
      <c r="B31" s="128">
        <f>+((C34)*40%)*4.8%</f>
        <v>7296</v>
      </c>
      <c r="C31" s="128"/>
      <c r="D31" s="128"/>
    </row>
    <row r="32" spans="1:4" ht="15">
      <c r="A32" s="11"/>
      <c r="B32" s="11"/>
      <c r="C32" s="11"/>
      <c r="D32" s="11"/>
    </row>
    <row r="33" spans="1:3" ht="15">
      <c r="A33" s="122" t="s">
        <v>42</v>
      </c>
      <c r="B33" s="96" t="s">
        <v>35</v>
      </c>
      <c r="C33" s="40" t="s">
        <v>36</v>
      </c>
    </row>
    <row r="34" spans="1:3" ht="15.75">
      <c r="A34" s="122"/>
      <c r="B34" s="77">
        <f>+C34-B31</f>
        <v>372704</v>
      </c>
      <c r="C34" s="78">
        <v>380000</v>
      </c>
    </row>
    <row r="35" spans="1:4" ht="15.75">
      <c r="A35" s="101"/>
      <c r="B35" s="100"/>
      <c r="C35" s="102"/>
      <c r="D35" s="67"/>
    </row>
  </sheetData>
  <sheetProtection/>
  <mergeCells count="11">
    <mergeCell ref="A2:D2"/>
    <mergeCell ref="A5:D5"/>
    <mergeCell ref="A8:A9"/>
    <mergeCell ref="B8:B9"/>
    <mergeCell ref="C8:D8"/>
    <mergeCell ref="A4:D4"/>
    <mergeCell ref="A11:D11"/>
    <mergeCell ref="A12:B12"/>
    <mergeCell ref="C12:D12"/>
    <mergeCell ref="B31:D31"/>
    <mergeCell ref="A33:A34"/>
  </mergeCells>
  <printOptions/>
  <pageMargins left="0.7" right="0.7" top="1.34" bottom="0.75" header="0.3" footer="0.3"/>
  <pageSetup horizontalDpi="600" verticalDpi="600" orientation="portrait" paperSize="9" scale="90" r:id="rId2"/>
  <headerFooter>
    <oddHeader>&amp;L&amp;G</oddHeader>
  </headerFooter>
  <rowBreaks count="1" manualBreakCount="1">
    <brk id="34" max="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G4" sqref="G4"/>
    </sheetView>
  </sheetViews>
  <sheetFormatPr defaultColWidth="9.140625" defaultRowHeight="15"/>
  <cols>
    <col min="1" max="1" width="23.421875" style="0" customWidth="1"/>
    <col min="2" max="2" width="30.7109375" style="0" bestFit="1" customWidth="1"/>
    <col min="3" max="3" width="17.8515625" style="0" bestFit="1" customWidth="1"/>
    <col min="4" max="4" width="13.8515625" style="0" bestFit="1" customWidth="1"/>
  </cols>
  <sheetData>
    <row r="1" spans="1:4" ht="16.5">
      <c r="A1" s="136" t="s">
        <v>50</v>
      </c>
      <c r="B1" s="136"/>
      <c r="C1" s="136"/>
      <c r="D1" s="136"/>
    </row>
    <row r="2" spans="1:4" ht="15.75">
      <c r="A2" s="119" t="s">
        <v>51</v>
      </c>
      <c r="B2" s="119"/>
      <c r="C2" s="119"/>
      <c r="D2" s="119"/>
    </row>
    <row r="3" spans="1:4" ht="15.75">
      <c r="A3" s="13" t="s">
        <v>0</v>
      </c>
      <c r="B3" s="86"/>
      <c r="C3" s="13" t="s">
        <v>1</v>
      </c>
      <c r="D3" s="72"/>
    </row>
    <row r="4" spans="1:6" ht="15.75">
      <c r="A4" s="13" t="s">
        <v>2</v>
      </c>
      <c r="B4" s="104"/>
      <c r="C4" s="13" t="s">
        <v>3</v>
      </c>
      <c r="D4" s="97" t="s">
        <v>47</v>
      </c>
      <c r="F4" s="42"/>
    </row>
    <row r="5" spans="1:4" ht="15.75">
      <c r="A5" s="121" t="s">
        <v>4</v>
      </c>
      <c r="B5" s="122" t="s">
        <v>49</v>
      </c>
      <c r="C5" s="123" t="s">
        <v>6</v>
      </c>
      <c r="D5" s="123"/>
    </row>
    <row r="6" spans="1:4" ht="15.75">
      <c r="A6" s="121"/>
      <c r="B6" s="122"/>
      <c r="C6" s="74" t="s">
        <v>7</v>
      </c>
      <c r="D6" s="74" t="s">
        <v>8</v>
      </c>
    </row>
    <row r="7" spans="1:4" ht="15.75">
      <c r="A7" s="137"/>
      <c r="B7" s="137"/>
      <c r="C7" s="14" t="s">
        <v>5</v>
      </c>
      <c r="D7" s="14" t="s">
        <v>5</v>
      </c>
    </row>
    <row r="8" spans="1:4" ht="15">
      <c r="A8" s="131" t="s">
        <v>9</v>
      </c>
      <c r="B8" s="131"/>
      <c r="C8" s="131"/>
      <c r="D8" s="131"/>
    </row>
    <row r="9" spans="1:4" ht="15">
      <c r="A9" s="127" t="s">
        <v>10</v>
      </c>
      <c r="B9" s="127"/>
      <c r="C9" s="127" t="s">
        <v>11</v>
      </c>
      <c r="D9" s="127"/>
    </row>
    <row r="10" spans="1:4" ht="15">
      <c r="A10" s="15" t="s">
        <v>12</v>
      </c>
      <c r="B10" s="16">
        <f>C22*40%</f>
        <v>16346.666666666666</v>
      </c>
      <c r="C10" s="15" t="s">
        <v>13</v>
      </c>
      <c r="D10" s="17" t="str">
        <f>+IF((B10&gt;=0)*(B10&lt;=6500),(B10*12%),(IF((B10&gt;6500)*(B10&gt;=6500),"780",)))</f>
        <v>780</v>
      </c>
    </row>
    <row r="11" spans="1:4" ht="15">
      <c r="A11" s="15"/>
      <c r="B11" s="16"/>
      <c r="C11" s="15" t="s">
        <v>14</v>
      </c>
      <c r="D11" s="16">
        <f>B11*12%</f>
        <v>0</v>
      </c>
    </row>
    <row r="12" spans="1:4" ht="15">
      <c r="A12" s="15" t="s">
        <v>15</v>
      </c>
      <c r="B12" s="16">
        <f>B10*40%</f>
        <v>6538.666666666667</v>
      </c>
      <c r="C12" s="15" t="s">
        <v>16</v>
      </c>
      <c r="D12" s="18" t="str">
        <f>+IF((B19&gt;=0)*(B19&lt;=5000),0,(IF((B19&gt;5000)*(B19&lt;=6000),"60",(IF((B19&gt;6000)*(B19&lt;=10000),"80",(IF((B19&gt;10000)*(B19&lt;=15000),"100",(IF((B19&gt;15000)*(B19&lt;=20000),"150",(IF((B19&gt;20000),"200","")))))))))))</f>
        <v>200</v>
      </c>
    </row>
    <row r="13" spans="1:4" ht="15">
      <c r="A13" s="19" t="s">
        <v>17</v>
      </c>
      <c r="B13" s="20">
        <v>800</v>
      </c>
      <c r="C13" s="21"/>
      <c r="D13" s="21"/>
    </row>
    <row r="14" spans="1:4" ht="15">
      <c r="A14" s="19" t="s">
        <v>18</v>
      </c>
      <c r="B14" s="20">
        <v>200</v>
      </c>
      <c r="C14" s="21"/>
      <c r="D14" s="21"/>
    </row>
    <row r="15" spans="1:4" ht="15">
      <c r="A15" s="19" t="s">
        <v>19</v>
      </c>
      <c r="B15" s="20">
        <v>500</v>
      </c>
      <c r="C15" s="21"/>
      <c r="D15" s="21"/>
    </row>
    <row r="16" spans="1:4" ht="15">
      <c r="A16" s="22" t="s">
        <v>20</v>
      </c>
      <c r="B16" s="23">
        <f>SUM(B10:B15)</f>
        <v>24385.333333333332</v>
      </c>
      <c r="C16" s="24" t="s">
        <v>21</v>
      </c>
      <c r="D16" s="23">
        <f>+D10+D11+D12</f>
        <v>980</v>
      </c>
    </row>
    <row r="17" spans="1:4" ht="15">
      <c r="A17" s="25" t="s">
        <v>22</v>
      </c>
      <c r="B17" s="26">
        <f>(C22-B27)-B16</f>
        <v>7616.301333333333</v>
      </c>
      <c r="C17" s="27"/>
      <c r="D17" s="27"/>
    </row>
    <row r="18" spans="1:4" ht="15">
      <c r="A18" s="28"/>
      <c r="B18" s="26"/>
      <c r="C18" s="27"/>
      <c r="D18" s="27"/>
    </row>
    <row r="19" spans="1:4" ht="15">
      <c r="A19" s="25" t="s">
        <v>23</v>
      </c>
      <c r="B19" s="29">
        <f>(B10+B12+B13+B14+B15+B17)</f>
        <v>32001.634666666665</v>
      </c>
      <c r="C19" s="25" t="s">
        <v>24</v>
      </c>
      <c r="D19" s="30">
        <f>B19-D16</f>
        <v>31021.634666666665</v>
      </c>
    </row>
    <row r="20" spans="1:6" ht="15.75">
      <c r="A20" s="139"/>
      <c r="B20" s="140"/>
      <c r="C20" s="31" t="s">
        <v>25</v>
      </c>
      <c r="D20" s="32">
        <f>+D19+B26</f>
        <v>35021.634666666665</v>
      </c>
      <c r="F20" s="9"/>
    </row>
    <row r="21" spans="1:4" ht="15">
      <c r="A21" s="33" t="s">
        <v>26</v>
      </c>
      <c r="B21" s="27"/>
      <c r="C21" s="73" t="s">
        <v>27</v>
      </c>
      <c r="D21" s="73" t="s">
        <v>28</v>
      </c>
    </row>
    <row r="22" spans="1:4" ht="15">
      <c r="A22" s="15" t="s">
        <v>13</v>
      </c>
      <c r="B22" s="17" t="str">
        <f>+D10</f>
        <v>780</v>
      </c>
      <c r="C22" s="138">
        <f>D22/12</f>
        <v>40866.666666666664</v>
      </c>
      <c r="D22" s="138">
        <f>+B32</f>
        <v>490400</v>
      </c>
    </row>
    <row r="23" spans="1:7" ht="15">
      <c r="A23" s="15" t="s">
        <v>29</v>
      </c>
      <c r="B23" s="16">
        <f>+B10*8.33%</f>
        <v>1361.6773333333333</v>
      </c>
      <c r="C23" s="138"/>
      <c r="D23" s="138"/>
      <c r="G23" s="9"/>
    </row>
    <row r="24" spans="1:4" ht="15">
      <c r="A24" s="15" t="s">
        <v>30</v>
      </c>
      <c r="B24" s="16">
        <f>B10*8.33%</f>
        <v>1361.6773333333333</v>
      </c>
      <c r="C24" s="138"/>
      <c r="D24" s="138"/>
    </row>
    <row r="25" spans="1:4" ht="15">
      <c r="A25" s="15" t="s">
        <v>31</v>
      </c>
      <c r="B25" s="16">
        <f>+B10*8.33%</f>
        <v>1361.6773333333333</v>
      </c>
      <c r="C25" s="138"/>
      <c r="D25" s="138"/>
    </row>
    <row r="26" spans="1:4" ht="30.75">
      <c r="A26" s="34" t="s">
        <v>45</v>
      </c>
      <c r="B26" s="35">
        <v>4000</v>
      </c>
      <c r="C26" s="138"/>
      <c r="D26" s="138"/>
    </row>
    <row r="27" spans="1:4" ht="15">
      <c r="A27" s="36" t="s">
        <v>32</v>
      </c>
      <c r="B27" s="23">
        <f>+B22+B23+B24+B25+B26</f>
        <v>8865.032</v>
      </c>
      <c r="C27" s="138"/>
      <c r="D27" s="138"/>
    </row>
    <row r="28" spans="1:4" ht="15">
      <c r="A28" s="37"/>
      <c r="B28" s="38"/>
      <c r="C28" s="10"/>
      <c r="D28" s="10"/>
    </row>
    <row r="29" spans="1:4" ht="15">
      <c r="A29" s="39" t="s">
        <v>33</v>
      </c>
      <c r="B29" s="134">
        <f>+((C32)*40%)*4.8%</f>
        <v>9600</v>
      </c>
      <c r="C29" s="134"/>
      <c r="D29" s="135"/>
    </row>
    <row r="30" spans="1:4" ht="15">
      <c r="A30" s="11"/>
      <c r="B30" s="11"/>
      <c r="C30" s="11"/>
      <c r="D30" s="11"/>
    </row>
    <row r="31" spans="1:4" ht="15">
      <c r="A31" s="122" t="s">
        <v>34</v>
      </c>
      <c r="B31" s="96" t="s">
        <v>35</v>
      </c>
      <c r="C31" s="40" t="s">
        <v>36</v>
      </c>
      <c r="D31" s="12"/>
    </row>
    <row r="32" spans="1:4" ht="15.75">
      <c r="A32" s="122"/>
      <c r="B32" s="41">
        <f>+C32-B29</f>
        <v>490400</v>
      </c>
      <c r="C32" s="103">
        <v>500000</v>
      </c>
      <c r="D32" s="10"/>
    </row>
    <row r="33" spans="1:4" ht="9" customHeight="1">
      <c r="A33" s="107"/>
      <c r="B33" s="108"/>
      <c r="C33" s="109"/>
      <c r="D33" s="10"/>
    </row>
  </sheetData>
  <sheetProtection/>
  <mergeCells count="14">
    <mergeCell ref="A7:B7"/>
    <mergeCell ref="C22:C27"/>
    <mergeCell ref="D22:D27"/>
    <mergeCell ref="A20:B20"/>
    <mergeCell ref="A1:D1"/>
    <mergeCell ref="A2:D2"/>
    <mergeCell ref="A5:A6"/>
    <mergeCell ref="B5:B6"/>
    <mergeCell ref="C5:D5"/>
    <mergeCell ref="A31:A32"/>
    <mergeCell ref="A9:B9"/>
    <mergeCell ref="C9:D9"/>
    <mergeCell ref="B29:D29"/>
    <mergeCell ref="A8:D8"/>
  </mergeCells>
  <printOptions/>
  <pageMargins left="0.7" right="0.7" top="1.34" bottom="0.75" header="0.3" footer="0.3"/>
  <pageSetup fitToHeight="13" fitToWidth="13"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2012-07-11T05:28:29Z</dcterms:modified>
  <cp:category/>
  <cp:version/>
  <cp:contentType/>
  <cp:contentStatus/>
</cp:coreProperties>
</file>