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<sst xmlns="http://schemas.openxmlformats.org/spreadsheetml/2006/main" count="27" uniqueCount="26">
  <si>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Employees' Pension Scheme - 95</t>
  </si>
  <si>
    <t>Name</t>
  </si>
  <si>
    <t>St.No.</t>
  </si>
  <si>
    <t>Date</t>
  </si>
  <si>
    <t>Month</t>
  </si>
  <si>
    <t>Year</t>
  </si>
  <si>
    <t>Date of Birth</t>
  </si>
  <si>
    <t xml:space="preserve">Date of Join  </t>
  </si>
  <si>
    <t>Break in Service before 16.11.95</t>
  </si>
  <si>
    <t>Break in Service w.e.f 16.11.95</t>
  </si>
  <si>
    <t xml:space="preserve">Date of completion of 50 years  </t>
  </si>
  <si>
    <t xml:space="preserve">Date of completion of 58 years  </t>
  </si>
  <si>
    <t>Date of Employees' Pension Scheme</t>
  </si>
  <si>
    <t xml:space="preserve">Date of Retirement  </t>
  </si>
  <si>
    <t>Date of Seperation from Service</t>
  </si>
  <si>
    <t>Nearest Date for Pension Entitlement</t>
  </si>
  <si>
    <t>Salary on 16.11.1995</t>
  </si>
  <si>
    <t>Salary on Seperation from Service</t>
  </si>
  <si>
    <t xml:space="preserve">Past Service (years) </t>
  </si>
  <si>
    <t>Past Service Benefit (Rupees)</t>
  </si>
  <si>
    <t>Multiplying factor as per Table B</t>
  </si>
  <si>
    <t>Past Service Benefit  with multi.factor</t>
  </si>
  <si>
    <t>Pensionable Service with Bonus</t>
  </si>
  <si>
    <t>Pensionable Service Benefit</t>
  </si>
  <si>
    <t>Total Pension (subject to minimum)</t>
  </si>
  <si>
    <t>Pension on Nearest Eligible Date</t>
  </si>
</sst>
</file>

<file path=xl/styles.xml><?xml version="1.0" encoding="utf-8"?>
<styleSheet xmlns="http://schemas.openxmlformats.org/spreadsheetml/2006/main">
  <numFmts count="9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0.0%"/>
  </numFmts>
  <fonts count="5">
    <font>
      <sz val="12"/>
      <name val="Times New Roman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6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0" fontId="4" fillId="3" borderId="1" xfId="0" applyFon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2" fillId="3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32"/>
  <sheetViews>
    <sheetView tabSelected="1" workbookViewId="0" topLeftCell="D19">
      <selection activeCell="J20" sqref="J20"/>
    </sheetView>
  </sheetViews>
  <sheetFormatPr defaultColWidth="9.00390625" defaultRowHeight="15.75"/>
  <cols>
    <col min="2" max="2" width="7.125" style="0" customWidth="1"/>
    <col min="3" max="3" width="29.125" style="0" customWidth="1"/>
  </cols>
  <sheetData>
    <row r="1" spans="5:20" ht="18.75">
      <c r="E1" s="1">
        <f>E21</f>
        <v>1</v>
      </c>
      <c r="F1" s="2">
        <f>F21</f>
        <v>2019</v>
      </c>
      <c r="N1" s="3">
        <f>28+O1+P1+(R1-1)*Q1+(S1*T1)</f>
        <v>31</v>
      </c>
      <c r="O1">
        <f>MOD(E1,2)</f>
        <v>1</v>
      </c>
      <c r="P1">
        <f>CEILING(ABS(E1-2),10)/5</f>
        <v>2</v>
      </c>
      <c r="Q1">
        <f>CEILING((ABS(E1-7)+E1-7),10)/10</f>
        <v>0</v>
      </c>
      <c r="R1">
        <f>(1-MOD(E1,2))*2</f>
        <v>0</v>
      </c>
      <c r="S1">
        <f>1-CEILING(MOD(F1,4),3)/3</f>
        <v>0</v>
      </c>
      <c r="T1">
        <f>1-CEILING(ABS(D1-2),10)/10</f>
        <v>0</v>
      </c>
    </row>
    <row r="2" spans="5:20" ht="18.75">
      <c r="E2">
        <f>I25</f>
        <v>1</v>
      </c>
      <c r="F2">
        <f>L25</f>
        <v>2019</v>
      </c>
      <c r="N2" s="3">
        <f>28+O2+P2+(R2-1)*Q2+(S2*T2)</f>
        <v>31</v>
      </c>
      <c r="O2">
        <f>MOD(E2,2)</f>
        <v>1</v>
      </c>
      <c r="P2">
        <f>CEILING(ABS(E2-2),10)/5</f>
        <v>2</v>
      </c>
      <c r="Q2">
        <f>CEILING((ABS(E2-7)+E2-7),10)/10</f>
        <v>0</v>
      </c>
      <c r="R2">
        <f>(1-MOD(E2,2))*2</f>
        <v>0</v>
      </c>
      <c r="S2">
        <f>1-CEILING(MOD(F2,4),3)/3</f>
        <v>0</v>
      </c>
      <c r="T2">
        <f>1-CEILING(ABS(E2-2),10)/10</f>
        <v>0</v>
      </c>
    </row>
    <row r="3" spans="4:20" ht="18.75">
      <c r="D3">
        <f>D12</f>
        <v>2</v>
      </c>
      <c r="E3">
        <f>E12</f>
        <v>1</v>
      </c>
      <c r="F3">
        <f>F12+58</f>
        <v>2019</v>
      </c>
      <c r="J3">
        <f>ROUNDDOWN(K3,0)</f>
        <v>1</v>
      </c>
      <c r="K3">
        <f>(M3-L3)*12+1+0.0001</f>
        <v>1.0001</v>
      </c>
      <c r="L3">
        <f>ROUNDDOWN(M3,0)</f>
        <v>2019</v>
      </c>
      <c r="M3">
        <f>((D3-2)/N3+E3-1)/12+F3</f>
        <v>2019</v>
      </c>
      <c r="N3" s="3">
        <f>28+O3+P3+(R3-1)*Q3+(S3*T3)</f>
        <v>31</v>
      </c>
      <c r="O3">
        <f>MOD(E3,2)</f>
        <v>1</v>
      </c>
      <c r="P3">
        <f>CEILING(ABS(E3-2),10)/5</f>
        <v>2</v>
      </c>
      <c r="Q3">
        <f>CEILING((ABS(E3-7)+E3-7),10)/10</f>
        <v>0</v>
      </c>
      <c r="R3">
        <f>(1-MOD(E3,2))*2</f>
        <v>0</v>
      </c>
      <c r="S3">
        <f>1-CEILING(MOD(F3,4),3)/3</f>
        <v>0</v>
      </c>
      <c r="T3">
        <f>1-CEILING(ABS(E3-2),10)/10</f>
        <v>0</v>
      </c>
    </row>
    <row r="4" spans="5:20" ht="18.75">
      <c r="E4">
        <f>J3</f>
        <v>1</v>
      </c>
      <c r="F4">
        <f>L3</f>
        <v>2019</v>
      </c>
      <c r="N4" s="3">
        <f>28+O4+P4+(R4-1)*Q4+(S4*T4)</f>
        <v>31</v>
      </c>
      <c r="O4">
        <f>MOD(E4,2)</f>
        <v>1</v>
      </c>
      <c r="P4">
        <f>CEILING(ABS(E4-2),10)/5</f>
        <v>2</v>
      </c>
      <c r="Q4">
        <f>CEILING((ABS(E4-7)+E4-7),10)/10</f>
        <v>0</v>
      </c>
      <c r="R4">
        <f>(1-MOD(E4,2))*2</f>
        <v>0</v>
      </c>
      <c r="S4">
        <f>1-CEILING(MOD(F4,4),3)/3</f>
        <v>0</v>
      </c>
      <c r="T4">
        <f>1-CEILING(ABS(E4-2),10)/10</f>
        <v>0</v>
      </c>
    </row>
    <row r="5" ht="15.75">
      <c r="D5">
        <f>N4</f>
        <v>31</v>
      </c>
    </row>
    <row r="6" spans="5:20" ht="18.75">
      <c r="E6">
        <f>J16</f>
        <v>1</v>
      </c>
      <c r="F6">
        <f>L16</f>
        <v>2011</v>
      </c>
      <c r="N6" s="3">
        <f>28+O6+P6+(R6-1)*Q6+(S6*T6)</f>
        <v>31</v>
      </c>
      <c r="O6">
        <f>MOD(E6,2)</f>
        <v>1</v>
      </c>
      <c r="P6">
        <f>CEILING(ABS(E6-2),10)/5</f>
        <v>2</v>
      </c>
      <c r="Q6">
        <f>CEILING((ABS(E6-7)+E6-7),10)/10</f>
        <v>0</v>
      </c>
      <c r="R6">
        <f>(1-MOD(E6,2))*2</f>
        <v>0</v>
      </c>
      <c r="S6">
        <f>1-CEILING(MOD(F6,4),3)/3</f>
        <v>0</v>
      </c>
      <c r="T6">
        <f>1-CEILING(ABS(D6-2),10)/10</f>
        <v>0</v>
      </c>
    </row>
    <row r="7" ht="16.5" thickBot="1"/>
    <row r="8" spans="2:23" ht="20.25">
      <c r="B8" s="4" t="s">
        <v>0</v>
      </c>
      <c r="C8" s="5"/>
      <c r="D8" s="5"/>
      <c r="E8" s="5"/>
      <c r="F8" s="6"/>
      <c r="G8" s="7"/>
      <c r="H8" s="7"/>
      <c r="I8" s="7"/>
      <c r="J8" s="7"/>
      <c r="K8" s="7"/>
      <c r="L8" s="7"/>
      <c r="M8" s="7"/>
      <c r="N8">
        <v>2</v>
      </c>
      <c r="O8">
        <v>2</v>
      </c>
      <c r="P8">
        <v>1963</v>
      </c>
      <c r="Q8" s="3">
        <f>28+R8+S8+(U8-1)*T8+(V8*W8)</f>
        <v>28</v>
      </c>
      <c r="R8">
        <f>MOD(O8,2)</f>
        <v>0</v>
      </c>
      <c r="S8">
        <f>CEILING(ABS(O8-2),10)/5</f>
        <v>0</v>
      </c>
      <c r="T8">
        <f>CEILING((ABS(O8-7)+O8-7),10)/10</f>
        <v>0</v>
      </c>
      <c r="U8">
        <f>(1-MOD(O8,2))*2</f>
        <v>2</v>
      </c>
      <c r="V8">
        <f>1-CEILING(MOD(P8,4),3)/3</f>
        <v>0</v>
      </c>
      <c r="W8">
        <f>1-CEILING(ABS(N8-2),10)/10</f>
        <v>1</v>
      </c>
    </row>
    <row r="9" spans="2:13" ht="15.75">
      <c r="B9" s="8"/>
      <c r="C9" s="9"/>
      <c r="D9" s="9"/>
      <c r="E9" s="9"/>
      <c r="F9" s="10"/>
      <c r="G9" s="7"/>
      <c r="H9" s="7"/>
      <c r="I9" s="7"/>
      <c r="J9" s="7"/>
      <c r="K9" s="7"/>
      <c r="L9" s="7"/>
      <c r="M9" s="7"/>
    </row>
    <row r="10" spans="2:13" ht="18.75">
      <c r="B10" s="11" t="s">
        <v>1</v>
      </c>
      <c r="C10" s="12"/>
      <c r="D10" s="13" t="s">
        <v>2</v>
      </c>
      <c r="E10" s="12"/>
      <c r="F10" s="14"/>
      <c r="G10" s="15"/>
      <c r="H10" s="15"/>
      <c r="I10" s="15"/>
      <c r="J10" s="15"/>
      <c r="K10" s="15"/>
      <c r="L10" s="15"/>
      <c r="M10" s="15"/>
    </row>
    <row r="11" spans="2:14" ht="18.75">
      <c r="B11" s="8"/>
      <c r="C11" s="9"/>
      <c r="D11" s="16" t="s">
        <v>3</v>
      </c>
      <c r="E11" s="16" t="s">
        <v>4</v>
      </c>
      <c r="F11" s="17" t="s">
        <v>5</v>
      </c>
      <c r="M11">
        <f>M12+50</f>
        <v>2011</v>
      </c>
      <c r="N11" s="3"/>
    </row>
    <row r="12" spans="2:20" ht="18.75">
      <c r="B12" s="18" t="s">
        <v>6</v>
      </c>
      <c r="C12" s="19"/>
      <c r="D12" s="20">
        <v>2</v>
      </c>
      <c r="E12" s="20">
        <v>1</v>
      </c>
      <c r="F12" s="21">
        <v>1961</v>
      </c>
      <c r="G12" s="22"/>
      <c r="H12" s="22"/>
      <c r="I12" s="22"/>
      <c r="J12" s="22"/>
      <c r="K12" s="23">
        <f>H13+I13+J13-H14</f>
        <v>8.730555555555556</v>
      </c>
      <c r="L12" s="22"/>
      <c r="M12">
        <f>((D12-2)/N12+E12-1)/12+F12</f>
        <v>1961</v>
      </c>
      <c r="N12" s="3">
        <f aca="true" t="shared" si="0" ref="N12:N20">28+O12+P12+(R12-1)*Q12+(S12*T12)</f>
        <v>31</v>
      </c>
      <c r="O12">
        <f aca="true" t="shared" si="1" ref="O12:O20">MOD(E12,2)</f>
        <v>1</v>
      </c>
      <c r="P12">
        <f aca="true" t="shared" si="2" ref="P12:P20">CEILING(ABS(E12-2),10)/5</f>
        <v>2</v>
      </c>
      <c r="Q12">
        <f aca="true" t="shared" si="3" ref="Q12:Q20">CEILING((ABS(E12-7)+E12-7),10)/10</f>
        <v>0</v>
      </c>
      <c r="R12">
        <f aca="true" t="shared" si="4" ref="R12:R20">(1-MOD(E12,2))*2</f>
        <v>0</v>
      </c>
      <c r="S12">
        <f aca="true" t="shared" si="5" ref="S12:S20">1-CEILING(MOD(F12,4),3)/3</f>
        <v>0</v>
      </c>
      <c r="T12">
        <f>1-CEILING(ABS(E12-2),10)/10</f>
        <v>0</v>
      </c>
    </row>
    <row r="13" spans="2:20" ht="18.75">
      <c r="B13" s="18" t="s">
        <v>7</v>
      </c>
      <c r="C13" s="19"/>
      <c r="D13" s="20">
        <v>23</v>
      </c>
      <c r="E13" s="20">
        <v>2</v>
      </c>
      <c r="F13" s="21">
        <v>1987</v>
      </c>
      <c r="G13" s="22"/>
      <c r="H13" s="23">
        <f>1995-F13</f>
        <v>8</v>
      </c>
      <c r="I13" s="23">
        <f>(11-E13)/12</f>
        <v>0.75</v>
      </c>
      <c r="J13" s="23">
        <f>(16-D13)/360</f>
        <v>-0.019444444444444445</v>
      </c>
      <c r="K13" s="23">
        <f>ROUND(K12,0)</f>
        <v>9</v>
      </c>
      <c r="L13" s="23">
        <f>K13-11</f>
        <v>-2</v>
      </c>
      <c r="M13">
        <f>((D13-2)/N13+E13-1)/12+F13</f>
        <v>1987.1458333333333</v>
      </c>
      <c r="N13" s="3">
        <f t="shared" si="0"/>
        <v>28</v>
      </c>
      <c r="O13">
        <f t="shared" si="1"/>
        <v>0</v>
      </c>
      <c r="P13">
        <f t="shared" si="2"/>
        <v>0</v>
      </c>
      <c r="Q13">
        <f t="shared" si="3"/>
        <v>0</v>
      </c>
      <c r="R13">
        <f t="shared" si="4"/>
        <v>2</v>
      </c>
      <c r="S13">
        <f t="shared" si="5"/>
        <v>0</v>
      </c>
      <c r="T13">
        <f aca="true" t="shared" si="6" ref="T13:T21">1-CEILING(ABS(E13-2),10)/10</f>
        <v>1</v>
      </c>
    </row>
    <row r="14" spans="2:14" ht="18.75">
      <c r="B14" s="18" t="s">
        <v>8</v>
      </c>
      <c r="C14" s="19"/>
      <c r="D14" s="20">
        <v>0</v>
      </c>
      <c r="E14" s="20">
        <v>0</v>
      </c>
      <c r="F14" s="21">
        <v>0</v>
      </c>
      <c r="G14" s="22"/>
      <c r="H14" s="23">
        <f>F14/365+E14/12+D14</f>
        <v>0</v>
      </c>
      <c r="I14" s="23"/>
      <c r="J14" s="23">
        <f>(ABS(K13)+K13)/2</f>
        <v>9</v>
      </c>
      <c r="K14" s="23">
        <f>L24-M14-H15</f>
        <v>23.12508960573473</v>
      </c>
      <c r="L14" s="23">
        <f>MAX(M13,M18)</f>
        <v>1995.8722222222223</v>
      </c>
      <c r="M14">
        <f>MAX(M13,M18)</f>
        <v>1995.8722222222223</v>
      </c>
      <c r="N14" s="3"/>
    </row>
    <row r="15" spans="2:14" ht="18.75">
      <c r="B15" s="18" t="s">
        <v>9</v>
      </c>
      <c r="C15" s="19"/>
      <c r="D15" s="20">
        <v>0</v>
      </c>
      <c r="E15" s="20">
        <v>0</v>
      </c>
      <c r="F15" s="21">
        <v>0</v>
      </c>
      <c r="G15" s="22"/>
      <c r="H15" s="23">
        <f>F15/365+E15/12+D15</f>
        <v>0</v>
      </c>
      <c r="I15" s="23">
        <f>K15*635</f>
        <v>635</v>
      </c>
      <c r="J15" s="23">
        <f>CEILING(J14,50)/50</f>
        <v>1</v>
      </c>
      <c r="K15" s="23">
        <f>CEILING(J14,30)/30</f>
        <v>1</v>
      </c>
      <c r="L15" s="23">
        <f>ROUND((M20-L14),0)</f>
        <v>23</v>
      </c>
      <c r="N15" s="3"/>
    </row>
    <row r="16" spans="2:20" ht="18.75">
      <c r="B16" s="18" t="s">
        <v>10</v>
      </c>
      <c r="C16" s="19"/>
      <c r="D16" s="24">
        <f>I16</f>
        <v>1</v>
      </c>
      <c r="E16" s="24">
        <f>J16</f>
        <v>1</v>
      </c>
      <c r="F16" s="25">
        <f>L16</f>
        <v>2011</v>
      </c>
      <c r="G16" s="22"/>
      <c r="H16" s="23"/>
      <c r="I16" s="23">
        <f>ROUND((K16-J16)*N6+1,0)</f>
        <v>1</v>
      </c>
      <c r="J16" s="23">
        <f>ROUNDDOWN(K16,0)</f>
        <v>1</v>
      </c>
      <c r="K16" s="23">
        <f>(M11-L16)*12+1</f>
        <v>1</v>
      </c>
      <c r="L16" s="23">
        <f>ROUNDDOWN(M11,0)</f>
        <v>2011</v>
      </c>
      <c r="M16">
        <f aca="true" t="shared" si="7" ref="M16:M22">((D16-2)/N16+E16-1)/12+F16</f>
        <v>2010.997311827957</v>
      </c>
      <c r="N16" s="3">
        <f t="shared" si="0"/>
        <v>31</v>
      </c>
      <c r="O16">
        <f t="shared" si="1"/>
        <v>1</v>
      </c>
      <c r="P16">
        <f t="shared" si="2"/>
        <v>2</v>
      </c>
      <c r="Q16">
        <f t="shared" si="3"/>
        <v>0</v>
      </c>
      <c r="R16">
        <f t="shared" si="4"/>
        <v>0</v>
      </c>
      <c r="S16">
        <f t="shared" si="5"/>
        <v>0</v>
      </c>
      <c r="T16">
        <f t="shared" si="6"/>
        <v>0</v>
      </c>
    </row>
    <row r="17" spans="2:20" ht="18.75">
      <c r="B17" s="18" t="s">
        <v>11</v>
      </c>
      <c r="C17" s="19"/>
      <c r="D17" s="24">
        <f>D16</f>
        <v>1</v>
      </c>
      <c r="E17" s="24">
        <f>E16</f>
        <v>1</v>
      </c>
      <c r="F17" s="25">
        <f>F16+8</f>
        <v>2019</v>
      </c>
      <c r="G17" s="22"/>
      <c r="I17" s="23">
        <f>M20-M12-50</f>
        <v>8.077956989247241</v>
      </c>
      <c r="J17" s="23">
        <f>CEILING((I17+ABS(I17))/2,99)/99</f>
        <v>1</v>
      </c>
      <c r="K17" s="23">
        <f>I17-8</f>
        <v>0.07795698924724093</v>
      </c>
      <c r="L17">
        <f>CEILING((K17+ABS(K17))/2,99)/99</f>
        <v>1</v>
      </c>
      <c r="M17">
        <f t="shared" si="7"/>
        <v>2018.997311827957</v>
      </c>
      <c r="N17" s="3">
        <f t="shared" si="0"/>
        <v>31</v>
      </c>
      <c r="O17">
        <f t="shared" si="1"/>
        <v>1</v>
      </c>
      <c r="P17">
        <f t="shared" si="2"/>
        <v>2</v>
      </c>
      <c r="Q17">
        <f t="shared" si="3"/>
        <v>0</v>
      </c>
      <c r="R17">
        <f t="shared" si="4"/>
        <v>0</v>
      </c>
      <c r="S17">
        <f t="shared" si="5"/>
        <v>0</v>
      </c>
      <c r="T17">
        <f t="shared" si="6"/>
        <v>0</v>
      </c>
    </row>
    <row r="18" spans="2:20" ht="18.75">
      <c r="B18" s="18" t="s">
        <v>12</v>
      </c>
      <c r="C18" s="19"/>
      <c r="D18" s="26">
        <v>16</v>
      </c>
      <c r="E18" s="26">
        <v>11</v>
      </c>
      <c r="F18" s="27">
        <v>1995</v>
      </c>
      <c r="G18" s="22"/>
      <c r="H18" s="23"/>
      <c r="I18" s="23">
        <f>ABS(J17-L17)</f>
        <v>0</v>
      </c>
      <c r="J18" s="23">
        <f>1-CEILING(MOD(F20,4),4)/4</f>
        <v>0</v>
      </c>
      <c r="K18" s="23">
        <f>I18*J18*2</f>
        <v>0</v>
      </c>
      <c r="L18">
        <f>H25-K18</f>
        <v>2</v>
      </c>
      <c r="M18">
        <f t="shared" si="7"/>
        <v>1995.8722222222223</v>
      </c>
      <c r="N18" s="3">
        <f>28+O18+P18+(R18-1)*Q18+(S18*T18)</f>
        <v>30</v>
      </c>
      <c r="O18">
        <f>MOD(E18,2)</f>
        <v>1</v>
      </c>
      <c r="P18">
        <f>CEILING(ABS(E18-2),10)/5</f>
        <v>2</v>
      </c>
      <c r="Q18">
        <f>CEILING((ABS(E18-7)+E18-7),10)/10</f>
        <v>1</v>
      </c>
      <c r="R18">
        <f>(1-MOD(E18,2))*2</f>
        <v>0</v>
      </c>
      <c r="S18">
        <f>1-CEILING(MOD(F18,4),3)/3</f>
        <v>0</v>
      </c>
      <c r="T18">
        <f t="shared" si="6"/>
        <v>0</v>
      </c>
    </row>
    <row r="19" spans="2:20" ht="18.75">
      <c r="B19" s="18" t="s">
        <v>13</v>
      </c>
      <c r="C19" s="9"/>
      <c r="D19" s="28">
        <f>D5</f>
        <v>31</v>
      </c>
      <c r="E19" s="28">
        <f>E4</f>
        <v>1</v>
      </c>
      <c r="F19" s="29">
        <f>F4</f>
        <v>2019</v>
      </c>
      <c r="G19" s="15"/>
      <c r="H19" s="23">
        <f>CEILING(ABS(L13)+L13,99)/99</f>
        <v>0</v>
      </c>
      <c r="I19" s="23">
        <f>MAX(K27*I20/24,450)</f>
        <v>1154</v>
      </c>
      <c r="J19" s="23">
        <f>MAX(I19,I22)</f>
        <v>2840</v>
      </c>
      <c r="K19">
        <f>((D17-1)/N17+E17-1)/12+F17</f>
        <v>2019</v>
      </c>
      <c r="L19" s="23">
        <f>K13-15</f>
        <v>-6</v>
      </c>
      <c r="M19">
        <f t="shared" si="7"/>
        <v>2019.0779569892472</v>
      </c>
      <c r="N19" s="3">
        <f t="shared" si="0"/>
        <v>31</v>
      </c>
      <c r="O19">
        <f t="shared" si="1"/>
        <v>1</v>
      </c>
      <c r="P19">
        <f t="shared" si="2"/>
        <v>2</v>
      </c>
      <c r="Q19">
        <f t="shared" si="3"/>
        <v>0</v>
      </c>
      <c r="R19">
        <f t="shared" si="4"/>
        <v>0</v>
      </c>
      <c r="S19">
        <f t="shared" si="5"/>
        <v>0</v>
      </c>
      <c r="T19">
        <f t="shared" si="6"/>
        <v>0</v>
      </c>
    </row>
    <row r="20" spans="2:20" ht="18.75">
      <c r="B20" s="30" t="s">
        <v>14</v>
      </c>
      <c r="C20" s="9"/>
      <c r="D20" s="20">
        <f>D19</f>
        <v>31</v>
      </c>
      <c r="E20" s="20">
        <f>E19</f>
        <v>1</v>
      </c>
      <c r="F20" s="20">
        <f>F19</f>
        <v>2019</v>
      </c>
      <c r="G20" s="22"/>
      <c r="H20" s="23">
        <f>CEILING(ABS(L19)+L19,99)/99</f>
        <v>0</v>
      </c>
      <c r="I20" s="23">
        <f>MIN((D25+D29),24)</f>
        <v>24</v>
      </c>
      <c r="J20" s="23">
        <f>POWER(0.96,K21)</f>
        <v>1</v>
      </c>
      <c r="K20" s="23">
        <f>ROUNDUP(K19-M22,0)</f>
        <v>0</v>
      </c>
      <c r="L20" s="23">
        <f>K13-19</f>
        <v>-10</v>
      </c>
      <c r="M20">
        <f t="shared" si="7"/>
        <v>2019.0779569892472</v>
      </c>
      <c r="N20" s="3">
        <f t="shared" si="0"/>
        <v>31</v>
      </c>
      <c r="O20">
        <f t="shared" si="1"/>
        <v>1</v>
      </c>
      <c r="P20">
        <f t="shared" si="2"/>
        <v>2</v>
      </c>
      <c r="Q20">
        <f t="shared" si="3"/>
        <v>0</v>
      </c>
      <c r="R20">
        <f t="shared" si="4"/>
        <v>0</v>
      </c>
      <c r="S20">
        <f t="shared" si="5"/>
        <v>0</v>
      </c>
      <c r="T20">
        <f t="shared" si="6"/>
        <v>0</v>
      </c>
    </row>
    <row r="21" spans="2:20" ht="18.75">
      <c r="B21" s="30" t="s">
        <v>15</v>
      </c>
      <c r="C21" s="9"/>
      <c r="D21" s="28">
        <f>H29</f>
        <v>2</v>
      </c>
      <c r="E21" s="28">
        <f>I29</f>
        <v>1</v>
      </c>
      <c r="F21" s="29">
        <f>K29</f>
        <v>2019</v>
      </c>
      <c r="G21" s="22"/>
      <c r="H21" s="23"/>
      <c r="I21" s="23"/>
      <c r="J21" s="23"/>
      <c r="K21" s="23">
        <f>(ABS(K20)+K20)/2</f>
        <v>0</v>
      </c>
      <c r="L21" s="23"/>
      <c r="M21">
        <f t="shared" si="7"/>
        <v>2019</v>
      </c>
      <c r="N21" s="3">
        <f>28+O21+P21+(R21-1)*Q21+(S21*T21)</f>
        <v>31</v>
      </c>
      <c r="O21">
        <f>MOD(E21,2)</f>
        <v>1</v>
      </c>
      <c r="P21">
        <f>CEILING(ABS(E21-2),10)/5</f>
        <v>2</v>
      </c>
      <c r="Q21">
        <f>CEILING((ABS(E21-7)+E21-7),10)/10</f>
        <v>0</v>
      </c>
      <c r="R21">
        <f>(1-MOD(E21,2))*2</f>
        <v>0</v>
      </c>
      <c r="S21">
        <f>1-CEILING(MOD(F21,4),3)/3</f>
        <v>0</v>
      </c>
      <c r="T21">
        <f t="shared" si="6"/>
        <v>0</v>
      </c>
    </row>
    <row r="22" spans="2:20" ht="18.75">
      <c r="B22" s="30" t="s">
        <v>15</v>
      </c>
      <c r="C22" s="9"/>
      <c r="D22" s="28">
        <f>H30</f>
        <v>2</v>
      </c>
      <c r="E22" s="28">
        <f>I30</f>
        <v>1</v>
      </c>
      <c r="F22" s="29">
        <f>J30</f>
        <v>2019</v>
      </c>
      <c r="G22" s="22"/>
      <c r="H22" s="23"/>
      <c r="I22" s="23">
        <f>D28+D30</f>
        <v>2840</v>
      </c>
      <c r="J22" s="23"/>
      <c r="K22" s="23"/>
      <c r="L22" s="23"/>
      <c r="M22">
        <f t="shared" si="7"/>
        <v>2019</v>
      </c>
      <c r="N22" s="3">
        <f>28+O22+P22+(R22-1)*Q22+(S22*T22)</f>
        <v>31</v>
      </c>
      <c r="O22">
        <f>MOD(E22,2)</f>
        <v>1</v>
      </c>
      <c r="P22">
        <f>CEILING(ABS(E22-2),10)/5</f>
        <v>2</v>
      </c>
      <c r="Q22">
        <f>CEILING((ABS(E22-7)+E22-7),10)/10</f>
        <v>0</v>
      </c>
      <c r="R22">
        <f>(1-MOD(E22,2))*2</f>
        <v>0</v>
      </c>
      <c r="S22">
        <f>1-CEILING(MOD(F22,4),3)/3</f>
        <v>0</v>
      </c>
      <c r="T22">
        <f>1-CEILING(ABS(E22-2),10)/10</f>
        <v>0</v>
      </c>
    </row>
    <row r="23" spans="2:13" ht="18.75">
      <c r="B23" s="30" t="s">
        <v>16</v>
      </c>
      <c r="C23" s="19"/>
      <c r="D23" s="20">
        <v>2500</v>
      </c>
      <c r="E23" s="19"/>
      <c r="F23" s="31"/>
      <c r="G23" s="22"/>
      <c r="H23" s="23">
        <f>CEILING(ABS(L20)+L20,99)/99</f>
        <v>0</v>
      </c>
      <c r="I23" s="32">
        <f>I26</f>
        <v>2321</v>
      </c>
      <c r="J23" s="32">
        <f>N20-H29</f>
        <v>29</v>
      </c>
      <c r="K23" s="32">
        <f>1-CEILING(J23+ABS(J23),62)/62</f>
        <v>0</v>
      </c>
      <c r="L23" s="23"/>
      <c r="M23" s="22"/>
    </row>
    <row r="24" spans="2:13" ht="18.75">
      <c r="B24" s="30" t="s">
        <v>17</v>
      </c>
      <c r="C24" s="33"/>
      <c r="D24" s="20">
        <v>6500</v>
      </c>
      <c r="E24" s="19"/>
      <c r="F24" s="31"/>
      <c r="G24" s="22"/>
      <c r="H24" s="22"/>
      <c r="I24" s="23">
        <f>MIN(D24,6500)</f>
        <v>6500</v>
      </c>
      <c r="J24" s="23">
        <f>K24+2/365</f>
        <v>2019.0027912800117</v>
      </c>
      <c r="K24" s="23">
        <f>MAX(M16,L24)</f>
        <v>2018.997311827957</v>
      </c>
      <c r="L24" s="23">
        <f>MIN(M17,M24)</f>
        <v>2018.997311827957</v>
      </c>
      <c r="M24" s="23">
        <f>MAX(M16,M20)</f>
        <v>2019.0779569892472</v>
      </c>
    </row>
    <row r="25" spans="2:13" ht="18.75">
      <c r="B25" s="30" t="s">
        <v>18</v>
      </c>
      <c r="C25" s="33"/>
      <c r="D25" s="24">
        <f>J14</f>
        <v>9</v>
      </c>
      <c r="E25" s="19"/>
      <c r="F25" s="31"/>
      <c r="G25" s="22"/>
      <c r="H25" s="23">
        <f>ROUND((J25-I25+1)*N2,0)</f>
        <v>2</v>
      </c>
      <c r="I25" s="23">
        <f>ROUNDDOWN(J25,0)+1</f>
        <v>1</v>
      </c>
      <c r="J25" s="23">
        <f>(K25+1/365)*12</f>
        <v>0.06637207246924484</v>
      </c>
      <c r="K25" s="23">
        <f>(J24-L25)</f>
        <v>0.002791280011706476</v>
      </c>
      <c r="L25" s="23">
        <f>ROUNDDOWN(J24,0)</f>
        <v>2019</v>
      </c>
      <c r="M25" s="23">
        <f>MAX(M13,M18)</f>
        <v>1995.8722222222223</v>
      </c>
    </row>
    <row r="26" spans="2:13" ht="18.75">
      <c r="B26" s="30" t="s">
        <v>19</v>
      </c>
      <c r="C26" s="19"/>
      <c r="D26" s="24">
        <f>K32*J15</f>
        <v>85</v>
      </c>
      <c r="E26" s="19"/>
      <c r="F26" s="31"/>
      <c r="G26" s="22"/>
      <c r="H26" s="22"/>
      <c r="I26" s="23">
        <f>ROUND(J27*I24/70,0)</f>
        <v>2321</v>
      </c>
      <c r="J26" s="23">
        <f>L26+K26*2</f>
        <v>25</v>
      </c>
      <c r="K26" s="23">
        <f>CEILING(L26-19+ABS(L26-19),98)/98</f>
        <v>1</v>
      </c>
      <c r="L26" s="23">
        <f>ROUND(M27,0)</f>
        <v>23</v>
      </c>
      <c r="M26" s="23">
        <f>MIN(M17,M20)</f>
        <v>2018.997311827957</v>
      </c>
    </row>
    <row r="27" spans="2:13" ht="18.75">
      <c r="B27" s="30" t="s">
        <v>20</v>
      </c>
      <c r="C27" s="19"/>
      <c r="D27" s="24">
        <f>K28</f>
        <v>6.102</v>
      </c>
      <c r="E27" s="19"/>
      <c r="F27" s="31"/>
      <c r="G27" s="22"/>
      <c r="H27" s="22"/>
      <c r="I27" s="23"/>
      <c r="J27" s="23">
        <f>L15+K26*2</f>
        <v>25</v>
      </c>
      <c r="K27" s="23">
        <f>MAX(D28+I15,800)</f>
        <v>1154</v>
      </c>
      <c r="L27" s="23"/>
      <c r="M27" s="23">
        <f>(M26-M25)</f>
        <v>23.12508960573473</v>
      </c>
    </row>
    <row r="28" spans="2:13" ht="20.25">
      <c r="B28" s="30" t="s">
        <v>21</v>
      </c>
      <c r="C28" s="19"/>
      <c r="D28" s="34">
        <f>J28</f>
        <v>519</v>
      </c>
      <c r="E28" s="19"/>
      <c r="F28" s="31"/>
      <c r="G28" s="22"/>
      <c r="H28" s="22"/>
      <c r="I28" s="23"/>
      <c r="J28" s="23">
        <f>ROUND(D26*K28,0)</f>
        <v>519</v>
      </c>
      <c r="K28" s="23">
        <f>ROUND(POWER(1.08,L28-0.5),3)</f>
        <v>6.102</v>
      </c>
      <c r="L28" s="23">
        <f>ROUNDUP(M17-M18+2/365,0)</f>
        <v>24</v>
      </c>
      <c r="M28" s="23"/>
    </row>
    <row r="29" spans="2:13" ht="18.75">
      <c r="B29" s="30" t="s">
        <v>22</v>
      </c>
      <c r="C29" s="19"/>
      <c r="D29" s="24">
        <f>J27</f>
        <v>25</v>
      </c>
      <c r="E29" s="19"/>
      <c r="F29" s="31"/>
      <c r="G29" s="23"/>
      <c r="H29" s="23">
        <f>ROUND((J29-I29)*N1+1,0)</f>
        <v>2</v>
      </c>
      <c r="I29" s="23">
        <f>ROUNDDOWN(J29,0)</f>
        <v>1</v>
      </c>
      <c r="J29" s="23">
        <f>(L29-K29)*12+1</f>
        <v>1.0334953601404777</v>
      </c>
      <c r="K29" s="23">
        <f>ROUNDDOWN(L29,0)</f>
        <v>2019</v>
      </c>
      <c r="L29" s="23">
        <f>L24+2/365</f>
        <v>2019.0027912800117</v>
      </c>
      <c r="M29" s="23">
        <f>J30</f>
        <v>2019</v>
      </c>
    </row>
    <row r="30" spans="2:13" ht="20.25">
      <c r="B30" s="30" t="s">
        <v>23</v>
      </c>
      <c r="C30" s="19"/>
      <c r="D30" s="34">
        <f>I23</f>
        <v>2321</v>
      </c>
      <c r="E30" s="19"/>
      <c r="F30" s="31"/>
      <c r="G30" s="23"/>
      <c r="H30" s="23">
        <f>H29-N20*K23</f>
        <v>2</v>
      </c>
      <c r="I30" s="23">
        <f>I29+K23</f>
        <v>1</v>
      </c>
      <c r="J30" s="23">
        <f>(1-CEILING(ABS(I30-13),12)/12)+K29</f>
        <v>2019</v>
      </c>
      <c r="K30" s="23"/>
      <c r="L30" s="23"/>
      <c r="M30" s="23"/>
    </row>
    <row r="31" spans="2:13" ht="20.25">
      <c r="B31" s="30" t="s">
        <v>24</v>
      </c>
      <c r="C31" s="9"/>
      <c r="D31" s="35">
        <f>J19</f>
        <v>2840</v>
      </c>
      <c r="E31" s="19"/>
      <c r="F31" s="10"/>
      <c r="G31" s="7"/>
      <c r="H31" s="7"/>
      <c r="I31" s="7"/>
      <c r="J31" s="7"/>
      <c r="K31" s="7"/>
      <c r="L31" s="7"/>
      <c r="M31" s="23"/>
    </row>
    <row r="32" spans="2:13" ht="21" thickBot="1">
      <c r="B32" s="36" t="s">
        <v>25</v>
      </c>
      <c r="C32" s="37"/>
      <c r="D32" s="38">
        <f>ROUND(D31*J20,0)</f>
        <v>2840</v>
      </c>
      <c r="E32" s="39"/>
      <c r="F32" s="40"/>
      <c r="G32" s="7"/>
      <c r="H32" s="22">
        <f>D23-2499</f>
        <v>1</v>
      </c>
      <c r="I32" s="22">
        <f>CEILING((ABS(H32)+H32)/2,999999)/999999</f>
        <v>1</v>
      </c>
      <c r="J32" s="22">
        <f>80+I32*5</f>
        <v>85</v>
      </c>
      <c r="K32" s="22">
        <f>J32+H19*(15+I32*5)+H20*(25+I32*5)+H23*(30+I32*5)</f>
        <v>85</v>
      </c>
      <c r="L32" s="7"/>
      <c r="M32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Narayanan</dc:creator>
  <cp:keywords/>
  <dc:description/>
  <cp:lastModifiedBy>G. Narayanan</cp:lastModifiedBy>
  <dcterms:created xsi:type="dcterms:W3CDTF">2010-09-04T09:42:09Z</dcterms:created>
  <dcterms:modified xsi:type="dcterms:W3CDTF">2010-09-08T07:33:56Z</dcterms:modified>
  <cp:category/>
  <cp:version/>
  <cp:contentType/>
  <cp:contentStatus/>
</cp:coreProperties>
</file>